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rnz.sharepoint.com/sites/HRNZData/Shared Documents/Data Analysis/Andrew/"/>
    </mc:Choice>
  </mc:AlternateContent>
  <xr:revisionPtr revIDLastSave="1365" documentId="8_{AAD5AAB2-47E2-437E-81A2-472403DF00FE}" xr6:coauthVersionLast="47" xr6:coauthVersionMax="47" xr10:uidLastSave="{8E20B660-06BE-49B0-9C49-A06DE90C9384}"/>
  <bookViews>
    <workbookView xWindow="-108" yWindow="-108" windowWidth="23256" windowHeight="12576" tabRatio="762" activeTab="1" xr2:uid="{AB473C18-65D7-41DC-826A-83FE8E37069B}"/>
  </bookViews>
  <sheets>
    <sheet name="NOTES" sheetId="4" r:id="rId1"/>
    <sheet name="Raceday Breakdown" sheetId="7" r:id="rId2"/>
    <sheet name="Club Breakdown" sheetId="2" r:id="rId3"/>
    <sheet name="NZ Grouping Breakdown" sheetId="5" r:id="rId4"/>
    <sheet name="prior_yr_cumulative_total" sheetId="9" state="hidden" r:id="rId5"/>
  </sheets>
  <definedNames>
    <definedName name="ExternalData_1" localSheetId="2" hidden="1">'Club Breakdown'!$A$1:$Q$9</definedName>
    <definedName name="ExternalData_1" localSheetId="3" hidden="1">'NZ Grouping Breakdown'!$A$1:$Q$4</definedName>
    <definedName name="ExternalData_1" localSheetId="4" hidden="1">prior_yr_cumulative_total!$A$1:$L$2</definedName>
    <definedName name="ExternalData_1" localSheetId="1" hidden="1">'Raceday Breakdown'!$A$1:$V$23</definedName>
    <definedName name="_xlnm.Print_Area" localSheetId="2">club_summary_data_22_23[#All]</definedName>
    <definedName name="_xlnm.Print_Area" localSheetId="1">raceday_22_23[[#All],[Raceday Date]:[Last Year Turnover]]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8" i="2" l="1"/>
  <c r="R7" i="2"/>
  <c r="R5" i="2"/>
  <c r="R2" i="2"/>
  <c r="R3" i="2"/>
  <c r="R9" i="2"/>
  <c r="W2" i="7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R6" i="2" l="1"/>
  <c r="R4" i="2"/>
  <c r="O11" i="5" l="1" a="1"/>
  <c r="O11" i="5" s="1"/>
  <c r="J11" i="5" a="1"/>
  <c r="J11" i="5" s="1"/>
  <c r="P11" i="5" a="1"/>
  <c r="P11" i="5" s="1"/>
  <c r="M11" i="5" a="1"/>
  <c r="M11" i="5" s="1"/>
  <c r="K11" i="5" a="1"/>
  <c r="K11" i="5" s="1"/>
  <c r="G11" i="5" a="1"/>
  <c r="G11" i="5" s="1"/>
  <c r="F11" i="5" a="1"/>
  <c r="F11" i="5" s="1"/>
  <c r="E11" i="5" a="1"/>
  <c r="E11" i="5" s="1"/>
  <c r="D11" i="5" a="1"/>
  <c r="D11" i="5" s="1"/>
  <c r="C11" i="5" a="1"/>
  <c r="C11" i="5" s="1"/>
  <c r="A11" i="5"/>
  <c r="A10" i="5"/>
  <c r="L11" i="5" l="1"/>
  <c r="Q11" i="5"/>
  <c r="N11" i="5"/>
  <c r="H11" i="5"/>
  <c r="S11" i="5"/>
  <c r="R11" i="5"/>
  <c r="I11" i="5"/>
  <c r="C10" i="5"/>
  <c r="D10" i="5"/>
  <c r="D13" i="5" s="1"/>
  <c r="G10" i="5"/>
  <c r="G13" i="5" s="1"/>
  <c r="K10" i="5"/>
  <c r="K13" i="5" s="1"/>
  <c r="M10" i="5"/>
  <c r="M13" i="5" s="1"/>
  <c r="O10" i="5"/>
  <c r="O13" i="5" s="1"/>
  <c r="P10" i="5"/>
  <c r="P13" i="5" s="1"/>
  <c r="C13" i="5" l="1"/>
  <c r="J10" i="5"/>
  <c r="J13" i="5" s="1"/>
  <c r="F10" i="5"/>
  <c r="F13" i="5" s="1"/>
  <c r="N10" i="5"/>
  <c r="N13" i="5" s="1"/>
  <c r="L10" i="5"/>
  <c r="L13" i="5" s="1"/>
  <c r="S10" i="5"/>
  <c r="S13" i="5" s="1"/>
  <c r="H10" i="5"/>
  <c r="H13" i="5" s="1"/>
  <c r="Q10" i="5"/>
  <c r="Q13" i="5" s="1"/>
  <c r="E10" i="5"/>
  <c r="E13" i="5" s="1"/>
  <c r="R10" i="5"/>
  <c r="R13" i="5" s="1"/>
  <c r="I10" i="5"/>
  <c r="I13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A6452C-26AB-4DBE-A0E6-43C43766641E}" keepAlive="1" name="Query - club_summary_data_22_23" description="Connection to the 'club_summary_data_22_23' query in the workbook." type="5" refreshedVersion="8" background="1" saveData="1">
    <dbPr connection="Provider=Microsoft.Mashup.OleDb.1;Data Source=$Workbook$;Location=club_summary_data_22_23;Extended Properties=&quot;&quot;" command="SELECT * FROM [club_summary_data_22_23]"/>
  </connection>
  <connection id="2" xr16:uid="{9F8FB5CE-67C8-4921-A5AA-702038BA480F}" keepAlive="1" name="Query - nz_grouping_summary_data_22_23" description="Connection to the 'nz_grouping_summary_data_22_23' query in the workbook." type="5" refreshedVersion="8" background="1" saveData="1">
    <dbPr connection="Provider=Microsoft.Mashup.OleDb.1;Data Source=$Workbook$;Location=nz_grouping_summary_data_22_23;Extended Properties=&quot;&quot;" command="SELECT * FROM [nz_grouping_summary_data_22_23]"/>
  </connection>
  <connection id="3" xr16:uid="{85BCE9A2-1188-4E19-B838-5BB477E7189C}" keepAlive="1" name="Query - prior_yr_cumulative_total" description="Connection to the 'prior_yr_cumulative_total' query in the workbook." type="5" refreshedVersion="8" background="1" saveData="1">
    <dbPr connection="Provider=Microsoft.Mashup.OleDb.1;Data Source=$Workbook$;Location=prior_yr_cumulative_total;Extended Properties=&quot;&quot;" command="SELECT * FROM [prior_yr_cumulative_total]"/>
  </connection>
  <connection id="4" xr16:uid="{B8D9C77A-49AF-4AB3-881A-9764D8355079}" keepAlive="1" name="Query - raceday_22_23" description="Connection to the 'raceday_22_23' query in the workbook." type="5" refreshedVersion="8" background="1" saveData="1">
    <dbPr connection="Provider=Microsoft.Mashup.OleDb.1;Data Source=$Workbook$;Location=raceday_22_23;Extended Properties=&quot;&quot;" command="SELECT * FROM [raceday_22_23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<sst xmlns="http://schemas.openxmlformats.org/spreadsheetml/2006/main" count="206" uniqueCount="85">
  <si>
    <t>Auckland Trotting Club Inc</t>
  </si>
  <si>
    <t>NZ Metropolitan Trotting Club Inc</t>
  </si>
  <si>
    <t>Racing Season</t>
  </si>
  <si>
    <t>Club Name</t>
  </si>
  <si>
    <t>Races</t>
  </si>
  <si>
    <t>Starters</t>
  </si>
  <si>
    <t>Ave. FS</t>
  </si>
  <si>
    <t>Fav. Win %</t>
  </si>
  <si>
    <t>HRNZ Funded Stakes</t>
  </si>
  <si>
    <t>Ave. Race Stake</t>
  </si>
  <si>
    <t>GBR/Stake%</t>
  </si>
  <si>
    <t>Late Start %</t>
  </si>
  <si>
    <t>Turnover</t>
  </si>
  <si>
    <t>GBR</t>
  </si>
  <si>
    <t>Funding</t>
  </si>
  <si>
    <t>Export TO (AUD)</t>
  </si>
  <si>
    <t>GBR/TO%</t>
  </si>
  <si>
    <t>GBR/Funding%</t>
  </si>
  <si>
    <t>NOTES</t>
  </si>
  <si>
    <t>Wagering data is sourced from the TAB</t>
  </si>
  <si>
    <t>Columns:</t>
  </si>
  <si>
    <t>HRNZ Funded Stakes:</t>
  </si>
  <si>
    <t>HRNZ's contribution to the stakes only (excludes any non-HRNZ funding)</t>
  </si>
  <si>
    <t>A race is considered a 'late start' where it has started more than 60 seconds after the scheduled start time</t>
  </si>
  <si>
    <t>General:</t>
  </si>
  <si>
    <t>NZ Grouping</t>
  </si>
  <si>
    <t>A North</t>
  </si>
  <si>
    <t>B Central</t>
  </si>
  <si>
    <t>Raceday Date</t>
  </si>
  <si>
    <t>Day</t>
  </si>
  <si>
    <t>Club</t>
  </si>
  <si>
    <t>Thursday</t>
  </si>
  <si>
    <t>Friday</t>
  </si>
  <si>
    <t>Sunday</t>
  </si>
  <si>
    <t>This is usually available within 1-2 weeks of any raceday being completed</t>
  </si>
  <si>
    <t xml:space="preserve">Where Funding is $0, this is because the latest funding has not been entered into the database (this will cause the GBR/Funding% to be 0% too) </t>
  </si>
  <si>
    <t>This has been built in at a Raceday level and is comprised of: total_race_funding, venue_funding, and other_funding (group race funding is included in the total_race_funding</t>
  </si>
  <si>
    <t>Funding:</t>
  </si>
  <si>
    <t>Late Start %:</t>
  </si>
  <si>
    <t>Last Year Turnover</t>
  </si>
  <si>
    <t>Last Year GBR</t>
  </si>
  <si>
    <t>Last Year GBR/TO%</t>
  </si>
  <si>
    <t>Last Year Info:</t>
  </si>
  <si>
    <t>GBR/TO% Diff to Last Year</t>
  </si>
  <si>
    <t>Export Turnover (AUD):</t>
  </si>
  <si>
    <r>
      <t xml:space="preserve">In the 'Raceday Breakdown' tab, if </t>
    </r>
    <r>
      <rPr>
        <b/>
        <sz val="11"/>
        <color theme="1"/>
        <rFont val="Calibri"/>
        <family val="2"/>
        <scheme val="minor"/>
      </rPr>
      <t>'Last Year Turnover'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'Last Year GBR' </t>
    </r>
    <r>
      <rPr>
        <sz val="11"/>
        <color theme="1"/>
        <rFont val="Calibri"/>
        <family val="2"/>
        <scheme val="minor"/>
      </rPr>
      <t xml:space="preserve">are equal to </t>
    </r>
    <r>
      <rPr>
        <b/>
        <sz val="11"/>
        <color theme="1"/>
        <rFont val="Calibri"/>
        <family val="2"/>
        <scheme val="minor"/>
      </rPr>
      <t>$0</t>
    </r>
    <r>
      <rPr>
        <sz val="11"/>
        <color theme="1"/>
        <rFont val="Calibri"/>
        <family val="2"/>
        <scheme val="minor"/>
      </rPr>
      <t>, this is because there is no associated last year raceday ID to match the current year's raceday to</t>
    </r>
  </si>
  <si>
    <t>Last Updated:</t>
  </si>
  <si>
    <t>(generally updated every Tuesday)</t>
  </si>
  <si>
    <t>Turnover/Funding%</t>
  </si>
  <si>
    <t>This column was added 23/2/2023 so that HRNZ can track Turnover as a percentage of Funding moving forward</t>
  </si>
  <si>
    <t>racing_season</t>
  </si>
  <si>
    <t>AFS</t>
  </si>
  <si>
    <t>num_fav_winners</t>
  </si>
  <si>
    <t>hrnz_funded_stakes</t>
  </si>
  <si>
    <t>total_stakes</t>
  </si>
  <si>
    <t>turnover</t>
  </si>
  <si>
    <t>export_TO</t>
  </si>
  <si>
    <t>num_late_starts</t>
  </si>
  <si>
    <t>Nationwide Cumulative Totals:</t>
  </si>
  <si>
    <t>Cumulative Totals (to date):</t>
  </si>
  <si>
    <t>These can be found on the 'NZ Grouping Breakdown' tab. This will be as at the date given in cell F1 on this tab (NOTES tab)</t>
  </si>
  <si>
    <t>total_funding</t>
  </si>
  <si>
    <t>TO per Race</t>
  </si>
  <si>
    <t>GBR per Race</t>
  </si>
  <si>
    <t>Note:</t>
  </si>
  <si>
    <t>For example, Funding data and Export Turnover generally aren't available until a couple of weeks after a raceday has been completed</t>
  </si>
  <si>
    <t>Cumulative totals are up to the same date for each respective season, however latest data for current season may not be available at the time of update</t>
  </si>
  <si>
    <t>Any point-in-time comparisons should be analysed with care</t>
  </si>
  <si>
    <t>% Change To Prior Year:</t>
  </si>
  <si>
    <t>Turnover/Funding %:</t>
  </si>
  <si>
    <t>Turnover Per Race</t>
  </si>
  <si>
    <t>All data is coming directly from the HRNZ Database</t>
  </si>
  <si>
    <t>2023/2024</t>
  </si>
  <si>
    <t xml:space="preserve">Data is for the current 2023/24 Racing Season </t>
  </si>
  <si>
    <t>2022/2023</t>
  </si>
  <si>
    <t>Winton Harness Racing Club Inc</t>
  </si>
  <si>
    <t>C South</t>
  </si>
  <si>
    <t>Waikato Bay of Plenty Harness Inc</t>
  </si>
  <si>
    <t>Ashburton Trotting Club Inc</t>
  </si>
  <si>
    <t>Kurow Harness Racing Club Inc</t>
  </si>
  <si>
    <t>Gore Harness Racing Club Inc</t>
  </si>
  <si>
    <t>Rangiora Harness Racing Club Inc</t>
  </si>
  <si>
    <t>Wyndham Harness Racing Club Inc</t>
  </si>
  <si>
    <t>Methven Trotting Club Inc</t>
  </si>
  <si>
    <t>2827572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</si>
</sst>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"/>
    <numFmt numFmtId="166" formatCode="0.0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0" applyNumberFormat="1" applyAlignment="1">
      <alignment horizontal="left"/>
    </xf>
    <xf numFmtId="14" fontId="2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9" fontId="0" fillId="0" borderId="0" xfId="1" applyFont="1" applyAlignment="1">
      <alignment horizontal="left" wrapText="1"/>
    </xf>
    <xf numFmtId="9" fontId="0" fillId="0" borderId="0" xfId="1" applyFont="1"/>
    <xf numFmtId="10" fontId="0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left"/>
    </xf>
    <xf numFmtId="167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left"/>
    </xf>
  </cellXfs>
  <cellStyles count="2">
    <cellStyle name="Normal" xfId="0" builtinId="0"/>
    <cellStyle name="Percent" xfId="1" builtinId="5"/>
  </cellStyles>
  <dxfs count="93"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4" formatCode="0.0%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8E3A9FDF-D3CD-4EFB-8708-651D1B20DB09}" autoFormatId="16" applyNumberFormats="0" applyBorderFormats="0" applyFontFormats="0" applyPatternFormats="0" applyAlignmentFormats="0" applyWidthHeightFormats="0">
  <queryTableRefresh nextId="26" unboundColumnsRight="1">
    <queryTableFields count="23">
      <queryTableField id="1" name="Raceday Date" tableColumnId="1"/>
      <queryTableField id="3" name="Day" tableColumnId="3"/>
      <queryTableField id="4" name="Club" tableColumnId="4"/>
      <queryTableField id="5" name="NZ Grouping" tableColumnId="5"/>
      <queryTableField id="6" name="Races" tableColumnId="6"/>
      <queryTableField id="7" name="Starters" tableColumnId="7"/>
      <queryTableField id="8" name="Ave. FS" tableColumnId="8"/>
      <queryTableField id="9" name="Fav. Win %" tableColumnId="9"/>
      <queryTableField id="10" name="HRNZ Funded Stakes" tableColumnId="10"/>
      <queryTableField id="11" name="Ave. Race Stake" tableColumnId="11"/>
      <queryTableField id="12" name="GBR/Stake%" tableColumnId="12"/>
      <queryTableField id="13" name="Late Start %" tableColumnId="13"/>
      <queryTableField id="14" name="Turnover" tableColumnId="14"/>
      <queryTableField id="15" name="GBR" tableColumnId="15"/>
      <queryTableField id="16" name="Funding" tableColumnId="16"/>
      <queryTableField id="17" name="Export TO (AUD)" tableColumnId="17"/>
      <queryTableField id="18" name="GBR/TO%" tableColumnId="18"/>
      <queryTableField id="19" name="GBR/Funding%" tableColumnId="19"/>
      <queryTableField id="24" name="Turnover/Funding%" tableColumnId="23"/>
      <queryTableField id="20" name="Last Year Turnover" tableColumnId="2"/>
      <queryTableField id="21" name="Last Year GBR" tableColumnId="20"/>
      <queryTableField id="22" name="Last Year GBR/TO%" tableColumnId="21"/>
      <queryTableField id="23" dataBound="0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6B265BF-1E52-4250-925B-4EF957FEFBAB}" autoFormatId="16" applyNumberFormats="0" applyBorderFormats="0" applyFontFormats="0" applyPatternFormats="0" applyAlignmentFormats="0" applyWidthHeightFormats="0">
  <queryTableRefresh nextId="37" unboundColumnsRight="1">
    <queryTableFields count="18">
      <queryTableField id="16" name="Racing Season" tableColumnId="16"/>
      <queryTableField id="17" name="Club Name" tableColumnId="17"/>
      <queryTableField id="18" name="Races" tableColumnId="18"/>
      <queryTableField id="19" name="Starters" tableColumnId="19"/>
      <queryTableField id="20" name="Ave. FS" tableColumnId="20"/>
      <queryTableField id="21" name="Fav. Win %" tableColumnId="21"/>
      <queryTableField id="22" name="HRNZ Funded Stakes" tableColumnId="22"/>
      <queryTableField id="23" name="Ave. Race Stake" tableColumnId="23"/>
      <queryTableField id="24" name="GBR/Stake%" tableColumnId="24"/>
      <queryTableField id="25" name="Late Start %" tableColumnId="25"/>
      <queryTableField id="26" name="Turnover" tableColumnId="26"/>
      <queryTableField id="27" name="GBR" tableColumnId="27"/>
      <queryTableField id="28" name="Funding" tableColumnId="28"/>
      <queryTableField id="29" name="Export TO (AUD)" tableColumnId="29"/>
      <queryTableField id="30" name="GBR/TO%" tableColumnId="30"/>
      <queryTableField id="34" name="GBR/Funding%" tableColumnId="34"/>
      <queryTableField id="35" name="Turnover/Funding%" tableColumnId="1"/>
      <queryTableField id="36" dataBound="0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18B2416-B3B6-46AF-B43F-FAE22FD9C9DE}" autoFormatId="16" applyNumberFormats="0" applyBorderFormats="0" applyFontFormats="0" applyPatternFormats="0" applyAlignmentFormats="0" applyWidthHeightFormats="0">
  <queryTableRefresh nextId="18">
    <queryTableFields count="17">
      <queryTableField id="1" name="Racing Season" tableColumnId="1"/>
      <queryTableField id="2" name="NZ Grouping" tableColumnId="2"/>
      <queryTableField id="3" name="Races" tableColumnId="3"/>
      <queryTableField id="4" name="Starters" tableColumnId="4"/>
      <queryTableField id="5" name="Ave. FS" tableColumnId="5"/>
      <queryTableField id="6" name="Fav. Win %" tableColumnId="6"/>
      <queryTableField id="7" name="HRNZ Funded Stakes" tableColumnId="7"/>
      <queryTableField id="8" name="Ave. Race Stake" tableColumnId="8"/>
      <queryTableField id="9" name="GBR/Stake%" tableColumnId="9"/>
      <queryTableField id="10" name="Late Start %" tableColumnId="10"/>
      <queryTableField id="11" name="Turnover" tableColumnId="11"/>
      <queryTableField id="12" name="GBR" tableColumnId="12"/>
      <queryTableField id="13" name="Funding" tableColumnId="13"/>
      <queryTableField id="14" name="Export TO (AUD)" tableColumnId="14"/>
      <queryTableField id="15" name="GBR/TO%" tableColumnId="15"/>
      <queryTableField id="16" name="GBR/Funding%" tableColumnId="16"/>
      <queryTableField id="17" name="Turnover/Funding%" tableColumnId="1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794299C-9762-456F-A7CA-3D0EBBF51B70}" autoFormatId="16" applyNumberFormats="0" applyBorderFormats="0" applyFontFormats="0" applyPatternFormats="0" applyAlignmentFormats="0" applyWidthHeightFormats="0">
  <queryTableRefresh nextId="15">
    <queryTableFields count="12">
      <queryTableField id="2" name="racing_season" tableColumnId="2"/>
      <queryTableField id="3" name="Races" tableColumnId="3"/>
      <queryTableField id="4" name="Starters" tableColumnId="4"/>
      <queryTableField id="5" name="AFS" tableColumnId="5"/>
      <queryTableField id="6" name="num_fav_winners" tableColumnId="6"/>
      <queryTableField id="7" name="hrnz_funded_stakes" tableColumnId="7"/>
      <queryTableField id="8" name="total_stakes" tableColumnId="8"/>
      <queryTableField id="13" name="total_funding" tableColumnId="13"/>
      <queryTableField id="9" name="turnover" tableColumnId="9"/>
      <queryTableField id="10" name="GBR" tableColumnId="10"/>
      <queryTableField id="11" name="export_TO" tableColumnId="11"/>
      <queryTableField id="12" name="num_late_starts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CB3143-AA95-4BFF-A156-EF7EBE26DCDE}" name="raceday_22_23" displayName="raceday_22_23" ref="A1:W23" tableType="queryTable" totalsRowShown="0" headerRowDxfId="92" dataDxfId="91">
  <autoFilter ref="A1:W23" xr:uid="{8ECB3143-AA95-4BFF-A156-EF7EBE26DCDE}"/>
  <sortState xmlns:xlrd2="http://schemas.microsoft.com/office/spreadsheetml/2017/richdata2" ref="A2:W23">
    <sortCondition ref="A1:A23"/>
  </sortState>
  <tableColumns count="23">
    <tableColumn id="1" xr3:uid="{5F1515AB-D4C6-450E-90C6-8D42083D358F}" uniqueName="1" name="Raceday Date" queryTableFieldId="1" dataDxfId="39" totalsRowDxfId="90"/>
    <tableColumn id="3" xr3:uid="{4D22E4DB-A2CB-484E-98AB-D3196AA8DCBA}" uniqueName="3" name="Day" queryTableFieldId="3" dataDxfId="38" totalsRowDxfId="89"/>
    <tableColumn id="4" xr3:uid="{079CAB0E-B157-4580-890F-A2E8A321D4DA}" uniqueName="4" name="Club" queryTableFieldId="4" dataDxfId="37" totalsRowDxfId="88"/>
    <tableColumn id="5" xr3:uid="{B6974082-46C7-4DB4-9C07-8ACA1D9582CC}" uniqueName="5" name="NZ Grouping" queryTableFieldId="5" dataDxfId="36" totalsRowDxfId="87"/>
    <tableColumn id="6" xr3:uid="{F501D4AB-49F6-42D0-A6C3-C366D3CD9C9F}" uniqueName="6" name="Races" queryTableFieldId="6" dataDxfId="35" totalsRowDxfId="86"/>
    <tableColumn id="7" xr3:uid="{6472B750-CAFA-4659-954E-0D7CDFEDAF8D}" uniqueName="7" name="Starters" queryTableFieldId="7" dataDxfId="34" totalsRowDxfId="85"/>
    <tableColumn id="8" xr3:uid="{A6F068C6-B31A-48FB-9A7F-3EBC74560F00}" uniqueName="8" name="Ave. FS" queryTableFieldId="8" dataDxfId="33" totalsRowDxfId="84"/>
    <tableColumn id="9" xr3:uid="{735FC37F-C20A-4FF8-9D0B-6409E6E960D6}" uniqueName="9" name="Fav. Win %" queryTableFieldId="9" dataDxfId="32" totalsRowDxfId="83" dataCellStyle="Percent" totalsRowCellStyle="Percent"/>
    <tableColumn id="10" xr3:uid="{BE932EB9-8F1A-4DC5-89BC-A34CE04F0B45}" uniqueName="10" name="HRNZ Funded Stakes" queryTableFieldId="10" dataDxfId="31" totalsRowDxfId="82"/>
    <tableColumn id="11" xr3:uid="{24F34BAF-F3E6-4280-9E85-DA9003991599}" uniqueName="11" name="Ave. Race Stake" queryTableFieldId="11" dataDxfId="30" totalsRowDxfId="81"/>
    <tableColumn id="12" xr3:uid="{4FF8BBC7-2C19-495B-93D5-55EF6A3CB032}" uniqueName="12" name="GBR/Stake%" queryTableFieldId="12" dataDxfId="29" totalsRowDxfId="80" dataCellStyle="Percent" totalsRowCellStyle="Percent"/>
    <tableColumn id="13" xr3:uid="{87F3198B-2F6F-4F7D-9D8E-31A1C217F570}" uniqueName="13" name="Late Start %" queryTableFieldId="13" dataDxfId="28" totalsRowDxfId="79" dataCellStyle="Percent" totalsRowCellStyle="Percent"/>
    <tableColumn id="14" xr3:uid="{C0E71842-6635-4508-9F04-54B6F1B1D614}" uniqueName="14" name="Turnover" queryTableFieldId="14" dataDxfId="27" totalsRowDxfId="78"/>
    <tableColumn id="15" xr3:uid="{67CBE4C1-72CF-4D04-AA51-749ABCF6DBBB}" uniqueName="15" name="GBR" queryTableFieldId="15" dataDxfId="26" totalsRowDxfId="77"/>
    <tableColumn id="16" xr3:uid="{C0F3665E-80A4-4CD0-AD3C-68AFEF1C07C8}" uniqueName="16" name="Funding" queryTableFieldId="16" dataDxfId="25" totalsRowDxfId="76"/>
    <tableColumn id="17" xr3:uid="{7E12EA9A-8485-4A14-AC19-9DDB6A1FC20D}" uniqueName="17" name="Export TO (AUD)" queryTableFieldId="17" dataDxfId="24" totalsRowDxfId="75"/>
    <tableColumn id="18" xr3:uid="{2BDB94B1-5401-4216-9472-367432BC6611}" uniqueName="18" name="GBR/TO%" queryTableFieldId="18" dataDxfId="23" totalsRowDxfId="74" dataCellStyle="Percent" totalsRowCellStyle="Percent"/>
    <tableColumn id="19" xr3:uid="{5BEEB3EB-B922-4CCA-BD52-0736011E32F3}" uniqueName="19" name="GBR/Funding%" queryTableFieldId="19" dataDxfId="22" totalsRowDxfId="73" dataCellStyle="Percent" totalsRowCellStyle="Percent"/>
    <tableColumn id="23" xr3:uid="{0E33540D-E2E1-47EA-AAA0-BA460E179A4C}" uniqueName="23" name="Turnover/Funding%" queryTableFieldId="24" dataDxfId="21" totalsRowDxfId="72" dataCellStyle="Percent" totalsRowCellStyle="Percent"/>
    <tableColumn id="2" xr3:uid="{26910BD9-293C-4827-8EB5-00479587934B}" uniqueName="2" name="Last Year Turnover" queryTableFieldId="20" dataDxfId="20" totalsRowDxfId="71" dataCellStyle="Percent" totalsRowCellStyle="Percent"/>
    <tableColumn id="20" xr3:uid="{29C94857-9797-44C0-9D19-5F8B497852F4}" uniqueName="20" name="Last Year GBR" queryTableFieldId="21" dataDxfId="19" totalsRowDxfId="70" dataCellStyle="Percent" totalsRowCellStyle="Percent"/>
    <tableColumn id="21" xr3:uid="{5DED8152-DE09-400A-827D-564EF2FCBA86}" uniqueName="21" name="Last Year GBR/TO%" queryTableFieldId="22" dataDxfId="18" totalsRowDxfId="69" dataCellStyle="Percent" totalsRowCellStyle="Percent"/>
    <tableColumn id="22" xr3:uid="{DEB2B479-B38A-4793-9AAC-A801C48A3C62}" uniqueName="22" name="GBR/TO% Diff to Last Year" queryTableFieldId="23" dataDxfId="17" totalsRowDxfId="68">
      <calculatedColumnFormula>IF(raceday_22_23[[#This Row],[Last Year Turnover]]&lt;&gt;0, raceday_22_23[[#This Row],[GBR/TO%]]-raceday_22_23[[#This Row],[Last Year GBR/TO%]], 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A43247-39D7-4B2A-AFC9-F68C37923AD2}" name="club_summary_data_22_23" displayName="club_summary_data_22_23" ref="A1:R9" tableType="queryTable" totalsRowShown="0" headerRowDxfId="67" dataDxfId="66">
  <autoFilter ref="A1:R9" xr:uid="{5FA43247-39D7-4B2A-AFC9-F68C37923AD2}"/>
  <sortState xmlns:xlrd2="http://schemas.microsoft.com/office/spreadsheetml/2017/richdata2" ref="A2:R9">
    <sortCondition descending="1" ref="R1:R9"/>
  </sortState>
  <tableColumns count="18">
    <tableColumn id="16" xr3:uid="{84FA02A7-59C6-4C88-B547-678AE6036BBE}" uniqueName="16" name="Racing Season" queryTableFieldId="16" dataDxfId="65"/>
    <tableColumn id="17" xr3:uid="{14D4F993-D007-4167-9D93-6CCCD6C99B67}" uniqueName="17" name="Club Name" queryTableFieldId="17" dataDxfId="64"/>
    <tableColumn id="18" xr3:uid="{40426622-692C-4EFC-B1A9-5CA2789AA835}" uniqueName="18" name="Races" queryTableFieldId="18" dataDxfId="63"/>
    <tableColumn id="19" xr3:uid="{CA79EC68-0190-45F3-814E-B728589F53C1}" uniqueName="19" name="Starters" queryTableFieldId="19" dataDxfId="62"/>
    <tableColumn id="20" xr3:uid="{C3462C5D-26B9-41C0-96EF-4267929F5E28}" uniqueName="20" name="Ave. FS" queryTableFieldId="20" dataDxfId="61"/>
    <tableColumn id="21" xr3:uid="{DD4596B2-0A52-4ADB-8146-825AD8D65525}" uniqueName="21" name="Fav. Win %" queryTableFieldId="21" dataDxfId="60" dataCellStyle="Percent"/>
    <tableColumn id="22" xr3:uid="{E882B0C9-AEA8-48CA-88FA-6A9B29C443EE}" uniqueName="22" name="HRNZ Funded Stakes" queryTableFieldId="22" dataDxfId="59"/>
    <tableColumn id="23" xr3:uid="{19B196F6-92F6-4839-9AF4-CB7E270C3B70}" uniqueName="23" name="Ave. Race Stake" queryTableFieldId="23" dataDxfId="58"/>
    <tableColumn id="24" xr3:uid="{6449B595-8CA5-4EE1-9AFA-826DB3503C58}" uniqueName="24" name="GBR/Stake%" queryTableFieldId="24" dataDxfId="57" dataCellStyle="Percent"/>
    <tableColumn id="25" xr3:uid="{5BCD5CB0-4520-49BC-9A63-77134EDD010C}" uniqueName="25" name="Late Start %" queryTableFieldId="25" dataDxfId="56" dataCellStyle="Percent"/>
    <tableColumn id="26" xr3:uid="{C0D6702E-606E-4489-95ED-A0C8A3413E36}" uniqueName="26" name="Turnover" queryTableFieldId="26" dataDxfId="55"/>
    <tableColumn id="27" xr3:uid="{A16AEFC2-E30F-43BB-9909-4AB8EA92E16B}" uniqueName="27" name="GBR" queryTableFieldId="27" dataDxfId="54"/>
    <tableColumn id="28" xr3:uid="{220F42A6-6454-4028-A5E3-18E3F7FD3571}" uniqueName="28" name="Funding" queryTableFieldId="28" dataDxfId="53"/>
    <tableColumn id="29" xr3:uid="{8CF6C49B-14B6-437D-972D-4A9A96E1B412}" uniqueName="29" name="Export TO (AUD)" queryTableFieldId="29" dataDxfId="52"/>
    <tableColumn id="30" xr3:uid="{85517A98-FA21-4C97-AA00-8BB10FFBC4D7}" uniqueName="30" name="GBR/TO%" queryTableFieldId="30" dataDxfId="51" dataCellStyle="Percent"/>
    <tableColumn id="34" xr3:uid="{CD094789-0844-4E1A-AD7F-807292039065}" uniqueName="34" name="GBR/Funding%" queryTableFieldId="34" dataDxfId="50" dataCellStyle="Percent"/>
    <tableColumn id="1" xr3:uid="{41B14C3D-115F-4977-AD46-20557DD4EE0C}" uniqueName="1" name="Turnover/Funding%" queryTableFieldId="35" dataDxfId="49" dataCellStyle="Percent"/>
    <tableColumn id="2" xr3:uid="{FFE7CB62-0CEE-462C-A38E-12773090A482}" uniqueName="2" name="Turnover Per Race" queryTableFieldId="36" dataDxfId="4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CE2EB-6461-438D-9D90-04FAB5E0E998}" name="nz_grouping_summary_data_22_23" displayName="nz_grouping_summary_data_22_23" ref="A1:Q4" tableType="queryTable" totalsRowShown="0" headerRowDxfId="47" dataDxfId="46">
  <autoFilter ref="A1:Q4" xr:uid="{B67CE2EB-6461-438D-9D90-04FAB5E0E998}"/>
  <tableColumns count="17">
    <tableColumn id="1" xr3:uid="{8718D5F7-D725-4B51-B267-76F523470822}" uniqueName="1" name="Racing Season" queryTableFieldId="1" dataDxfId="16"/>
    <tableColumn id="2" xr3:uid="{7029A6C6-E60D-4D9F-B672-8A860CB1740B}" uniqueName="2" name="NZ Grouping" queryTableFieldId="2" dataDxfId="15"/>
    <tableColumn id="3" xr3:uid="{15510ACF-2CF3-4C13-BB1F-41CC7D335294}" uniqueName="3" name="Races" queryTableFieldId="3" dataDxfId="14"/>
    <tableColumn id="4" xr3:uid="{EDC5D6B2-9FA4-4BFC-912F-FC9FC4A2A0F5}" uniqueName="4" name="Starters" queryTableFieldId="4" dataDxfId="13"/>
    <tableColumn id="5" xr3:uid="{F8648A72-18A9-4F14-A462-67A4A3EC4763}" uniqueName="5" name="Ave. FS" queryTableFieldId="5" dataDxfId="12"/>
    <tableColumn id="6" xr3:uid="{F81FD6FE-3524-4C71-9AC5-9F8989374B41}" uniqueName="6" name="Fav. Win %" queryTableFieldId="6" dataDxfId="11" dataCellStyle="Percent"/>
    <tableColumn id="7" xr3:uid="{4812BBA7-D766-4EDA-AB9C-BD9D50E0100A}" uniqueName="7" name="HRNZ Funded Stakes" queryTableFieldId="7" dataDxfId="10"/>
    <tableColumn id="8" xr3:uid="{A84D9353-EA09-4CC9-8B86-0A73E7DB1240}" uniqueName="8" name="Ave. Race Stake" queryTableFieldId="8" dataDxfId="9"/>
    <tableColumn id="9" xr3:uid="{6C64D457-FA91-4C77-9875-87C48A0EA4DB}" uniqueName="9" name="GBR/Stake%" queryTableFieldId="9" dataDxfId="8" dataCellStyle="Percent"/>
    <tableColumn id="10" xr3:uid="{DFC55964-49E9-47D9-83B1-86D3EB378275}" uniqueName="10" name="Late Start %" queryTableFieldId="10" dataDxfId="7" dataCellStyle="Percent"/>
    <tableColumn id="11" xr3:uid="{18ED67E1-5EE2-4E0A-9141-0E84A94063D1}" uniqueName="11" name="Turnover" queryTableFieldId="11" dataDxfId="6"/>
    <tableColumn id="12" xr3:uid="{A56FB405-DF41-4EDB-AF86-18A961C0892E}" uniqueName="12" name="GBR" queryTableFieldId="12" dataDxfId="5"/>
    <tableColumn id="13" xr3:uid="{4FE2D30E-C7BB-453C-9BA1-B84B2E024505}" uniqueName="13" name="Funding" queryTableFieldId="13" dataDxfId="4"/>
    <tableColumn id="14" xr3:uid="{811018E5-7709-472D-B960-BB8A3CCD0E5E}" uniqueName="14" name="Export TO (AUD)" queryTableFieldId="14" dataDxfId="3"/>
    <tableColumn id="15" xr3:uid="{2E83DE80-75C7-4613-A6F8-FAE017EECD72}" uniqueName="15" name="GBR/TO%" queryTableFieldId="15" dataDxfId="2" dataCellStyle="Percent"/>
    <tableColumn id="16" xr3:uid="{A28B3E6E-A10F-4C2D-853D-165487E6B110}" uniqueName="16" name="GBR/Funding%" queryTableFieldId="16" dataDxfId="1" dataCellStyle="Percent"/>
    <tableColumn id="17" xr3:uid="{877123AB-DF10-46A4-9E3C-D2F490C0A5E8}" uniqueName="17" name="Turnover/Funding%" queryTableFieldId="17" dataDxfId="0" dataCellStyle="Percen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75410A-C968-4FBA-A6D1-841FBE7DD530}" name="prior_yr_cumulative_total" displayName="prior_yr_cumulative_total" ref="A1:L2" tableType="queryTable" totalsRowShown="0">
  <autoFilter ref="A1:L2" xr:uid="{F675410A-C968-4FBA-A6D1-841FBE7DD530}"/>
  <tableColumns count="12">
    <tableColumn id="2" xr3:uid="{76DA60AF-B68C-47B9-AB91-E842D39AA0BD}" uniqueName="2" name="racing_season" queryTableFieldId="2" dataDxfId="45"/>
    <tableColumn id="3" xr3:uid="{9A12C213-7C19-49C6-8777-DE7513D54CB4}" uniqueName="3" name="Races" queryTableFieldId="3"/>
    <tableColumn id="4" xr3:uid="{D109D13F-8E84-4CDF-8E3E-6DEEE9DC1F1B}" uniqueName="4" name="Starters" queryTableFieldId="4"/>
    <tableColumn id="5" xr3:uid="{ED05114B-DA19-4F35-9CF5-B51CC24D0DF6}" uniqueName="5" name="AFS" queryTableFieldId="5"/>
    <tableColumn id="6" xr3:uid="{2183FA54-26E5-4DE3-8465-AA4C0C1FE7C9}" uniqueName="6" name="num_fav_winners" queryTableFieldId="6"/>
    <tableColumn id="7" xr3:uid="{8132F635-3464-4296-846F-63DCBAF98441}" uniqueName="7" name="hrnz_funded_stakes" queryTableFieldId="7"/>
    <tableColumn id="8" xr3:uid="{C4EFB343-B02C-41B7-9DFE-B4B95A2B0C03}" uniqueName="8" name="total_stakes" queryTableFieldId="8"/>
    <tableColumn id="13" xr3:uid="{7E10A395-58A4-49D7-AC49-B6E65DDFF931}" uniqueName="13" name="total_funding" queryTableFieldId="13" dataDxfId="44"/>
    <tableColumn id="9" xr3:uid="{FFFDEEE0-882B-4217-B853-2A103F7D0A32}" uniqueName="9" name="turnover" queryTableFieldId="9"/>
    <tableColumn id="10" xr3:uid="{DD20119B-2D4F-4B3A-87BE-31705956FD4F}" uniqueName="10" name="GBR" queryTableFieldId="10"/>
    <tableColumn id="11" xr3:uid="{3859715C-35C3-44F6-B671-96BC795B4C39}" uniqueName="11" name="export_TO" queryTableFieldId="11"/>
    <tableColumn id="12" xr3:uid="{288C49BA-7341-4F67-9244-544327C4AC9D}" uniqueName="12" name="num_late_starts" queryTableField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F644-57EF-42CE-9A43-2777D48B974D}">
  <sheetPr codeName="Sheet1"/>
  <dimension ref="A1:G19"/>
  <sheetViews>
    <sheetView workbookViewId="0">
      <selection activeCell="F2" sqref="F2"/>
    </sheetView>
  </sheetViews>
  <sheetFormatPr defaultRowHeight="14.4" x14ac:dyDescent="0.3"/>
  <cols>
    <col min="1" max="1" width="24.5546875" customWidth="1"/>
    <col min="5" max="5" width="13.5546875" customWidth="1"/>
    <col min="6" max="6" width="10.5546875" customWidth="1"/>
    <col min="7" max="7" width="9.33203125" customWidth="1"/>
  </cols>
  <sheetData>
    <row r="1" spans="1:7" ht="28.8" x14ac:dyDescent="0.55000000000000004">
      <c r="A1" s="1" t="s">
        <v>18</v>
      </c>
      <c r="E1" s="2" t="s">
        <v>46</v>
      </c>
      <c r="F1" s="13">
        <v>45181</v>
      </c>
      <c r="G1" t="s">
        <v>47</v>
      </c>
    </row>
    <row r="3" spans="1:7" x14ac:dyDescent="0.3">
      <c r="A3" s="2" t="s">
        <v>24</v>
      </c>
    </row>
    <row r="4" spans="1:7" x14ac:dyDescent="0.3">
      <c r="A4" t="s">
        <v>73</v>
      </c>
    </row>
    <row r="5" spans="1:7" x14ac:dyDescent="0.3">
      <c r="A5" t="s">
        <v>71</v>
      </c>
    </row>
    <row r="6" spans="1:7" x14ac:dyDescent="0.3">
      <c r="A6" t="s">
        <v>19</v>
      </c>
    </row>
    <row r="9" spans="1:7" x14ac:dyDescent="0.3">
      <c r="A9" s="2" t="s">
        <v>20</v>
      </c>
    </row>
    <row r="10" spans="1:7" x14ac:dyDescent="0.3">
      <c r="A10" t="s">
        <v>21</v>
      </c>
      <c r="B10" t="s">
        <v>22</v>
      </c>
    </row>
    <row r="11" spans="1:7" x14ac:dyDescent="0.3">
      <c r="A11" t="s">
        <v>44</v>
      </c>
      <c r="B11" t="s">
        <v>34</v>
      </c>
    </row>
    <row r="12" spans="1:7" x14ac:dyDescent="0.3">
      <c r="A12" t="s">
        <v>37</v>
      </c>
      <c r="B12" t="s">
        <v>36</v>
      </c>
    </row>
    <row r="13" spans="1:7" x14ac:dyDescent="0.3">
      <c r="B13" t="s">
        <v>35</v>
      </c>
    </row>
    <row r="14" spans="1:7" x14ac:dyDescent="0.3">
      <c r="A14" t="s">
        <v>38</v>
      </c>
      <c r="B14" t="s">
        <v>23</v>
      </c>
    </row>
    <row r="15" spans="1:7" x14ac:dyDescent="0.3">
      <c r="A15" t="s">
        <v>42</v>
      </c>
      <c r="B15" t="s">
        <v>45</v>
      </c>
    </row>
    <row r="16" spans="1:7" x14ac:dyDescent="0.3">
      <c r="A16" t="s">
        <v>69</v>
      </c>
      <c r="B16" t="s">
        <v>49</v>
      </c>
    </row>
    <row r="19" spans="1:2" x14ac:dyDescent="0.3">
      <c r="A19" s="2" t="s">
        <v>59</v>
      </c>
      <c r="B19" t="s">
        <v>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3AA-78A1-4194-B13A-89A6EE8BA4F6}">
  <sheetPr codeName="Sheet2">
    <pageSetUpPr fitToPage="1"/>
  </sheetPr>
  <dimension ref="A1:W30"/>
  <sheetViews>
    <sheetView tabSelected="1" workbookViewId="0">
      <pane ySplit="1" topLeftCell="A8" activePane="bottomLeft" state="frozen"/>
      <selection pane="bottomLeft"/>
    </sheetView>
  </sheetViews>
  <sheetFormatPr defaultColWidth="9.109375" defaultRowHeight="14.4" x14ac:dyDescent="0.3"/>
  <cols>
    <col min="1" max="1" width="14.6640625" style="3" bestFit="1" customWidth="1"/>
    <col min="2" max="2" width="8.33203125" style="3" bestFit="1" customWidth="1"/>
    <col min="3" max="3" width="29.21875" style="3" bestFit="1" customWidth="1"/>
    <col min="4" max="4" width="13.77734375" style="3" bestFit="1" customWidth="1"/>
    <col min="5" max="5" width="8" style="3" bestFit="1" customWidth="1"/>
    <col min="6" max="6" width="9.6640625" style="3" bestFit="1" customWidth="1"/>
    <col min="7" max="7" width="9.33203125" style="3" bestFit="1" customWidth="1"/>
    <col min="8" max="8" width="12.33203125" style="4" bestFit="1" customWidth="1"/>
    <col min="9" max="9" width="20.77734375" style="5" bestFit="1" customWidth="1"/>
    <col min="10" max="10" width="16.6640625" style="5" bestFit="1" customWidth="1"/>
    <col min="11" max="11" width="13.6640625" style="4" bestFit="1" customWidth="1"/>
    <col min="12" max="12" width="13.109375" style="4" bestFit="1" customWidth="1"/>
    <col min="13" max="13" width="10.88671875" style="5" bestFit="1" customWidth="1"/>
    <col min="14" max="14" width="8.44140625" style="5" bestFit="1" customWidth="1"/>
    <col min="15" max="15" width="10" style="5" bestFit="1" customWidth="1"/>
    <col min="16" max="16" width="17.109375" style="5" bestFit="1" customWidth="1"/>
    <col min="17" max="17" width="11.33203125" style="4" bestFit="1" customWidth="1"/>
    <col min="18" max="18" width="15.88671875" style="4" bestFit="1" customWidth="1"/>
    <col min="19" max="19" width="20.21875" style="9" bestFit="1" customWidth="1"/>
    <col min="20" max="20" width="18.88671875" style="9" bestFit="1" customWidth="1"/>
    <col min="21" max="21" width="14.5546875" style="4" bestFit="1" customWidth="1"/>
    <col min="22" max="22" width="19.44140625" style="4" bestFit="1" customWidth="1"/>
    <col min="23" max="23" width="25.21875" style="3" bestFit="1" customWidth="1"/>
    <col min="24" max="16384" width="9.109375" style="3"/>
  </cols>
  <sheetData>
    <row r="1" spans="1:23" x14ac:dyDescent="0.3">
      <c r="A1" s="3" t="s">
        <v>28</v>
      </c>
      <c r="B1" s="3" t="s">
        <v>29</v>
      </c>
      <c r="C1" s="3" t="s">
        <v>30</v>
      </c>
      <c r="D1" s="3" t="s">
        <v>25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t="s">
        <v>48</v>
      </c>
      <c r="T1" s="10" t="s">
        <v>39</v>
      </c>
      <c r="U1" s="10" t="s">
        <v>40</v>
      </c>
      <c r="V1" s="11" t="s">
        <v>41</v>
      </c>
      <c r="W1" s="3" t="s">
        <v>43</v>
      </c>
    </row>
    <row r="2" spans="1:23" x14ac:dyDescent="0.3">
      <c r="A2" s="8">
        <v>45141</v>
      </c>
      <c r="B2" s="32" t="s">
        <v>31</v>
      </c>
      <c r="C2" s="32" t="s">
        <v>0</v>
      </c>
      <c r="D2" s="32" t="s">
        <v>26</v>
      </c>
      <c r="E2" s="3">
        <v>10</v>
      </c>
      <c r="F2" s="3">
        <v>87</v>
      </c>
      <c r="G2" s="3">
        <v>8.6999999999999993</v>
      </c>
      <c r="H2" s="4">
        <v>0.3</v>
      </c>
      <c r="I2" s="5">
        <v>154376</v>
      </c>
      <c r="J2" s="5">
        <v>15438</v>
      </c>
      <c r="K2" s="4">
        <v>0.76800000000000002</v>
      </c>
      <c r="L2" s="4">
        <v>0.1</v>
      </c>
      <c r="M2" s="5">
        <v>730860</v>
      </c>
      <c r="N2" s="5">
        <v>118623</v>
      </c>
      <c r="O2" s="5">
        <v>154475</v>
      </c>
      <c r="P2" s="5">
        <v>348399</v>
      </c>
      <c r="Q2" s="4">
        <v>0.16200000000000001</v>
      </c>
      <c r="R2" s="4">
        <v>0.76800000000000002</v>
      </c>
      <c r="S2" s="18">
        <v>4.7309999999999999</v>
      </c>
      <c r="T2" s="10">
        <v>641930</v>
      </c>
      <c r="U2" s="10">
        <v>138825</v>
      </c>
      <c r="V2" s="11">
        <v>0.216</v>
      </c>
      <c r="W2" s="12">
        <f>IF(raceday_22_23[[#This Row],[Last Year Turnover]]&lt;&gt;0, raceday_22_23[[#This Row],[GBR/TO%]]-raceday_22_23[[#This Row],[Last Year GBR/TO%]], 0)</f>
        <v>-5.3999999999999992E-2</v>
      </c>
    </row>
    <row r="3" spans="1:23" x14ac:dyDescent="0.3">
      <c r="A3" s="8">
        <v>45142</v>
      </c>
      <c r="B3" s="32" t="s">
        <v>32</v>
      </c>
      <c r="C3" s="32" t="s">
        <v>1</v>
      </c>
      <c r="D3" s="32" t="s">
        <v>27</v>
      </c>
      <c r="E3" s="3">
        <v>9</v>
      </c>
      <c r="F3" s="3">
        <v>81</v>
      </c>
      <c r="G3" s="3">
        <v>9</v>
      </c>
      <c r="H3" s="4">
        <v>0.55600000000000005</v>
      </c>
      <c r="I3" s="5">
        <v>118229</v>
      </c>
      <c r="J3" s="5">
        <v>13137</v>
      </c>
      <c r="K3" s="4">
        <v>1.331</v>
      </c>
      <c r="L3" s="4">
        <v>0.33300000000000002</v>
      </c>
      <c r="M3" s="5">
        <v>855754</v>
      </c>
      <c r="N3" s="5">
        <v>157352</v>
      </c>
      <c r="O3" s="5">
        <v>118327.5</v>
      </c>
      <c r="P3" s="5">
        <v>271604</v>
      </c>
      <c r="Q3" s="4">
        <v>0.184</v>
      </c>
      <c r="R3" s="4">
        <v>1.33</v>
      </c>
      <c r="S3" s="18">
        <v>7.2320000000000002</v>
      </c>
      <c r="T3" s="10">
        <v>881225</v>
      </c>
      <c r="U3" s="10">
        <v>83444</v>
      </c>
      <c r="V3" s="11">
        <v>9.5000000000000001E-2</v>
      </c>
      <c r="W3" s="12">
        <f>IF(raceday_22_23[[#This Row],[Last Year Turnover]]&lt;&gt;0, raceday_22_23[[#This Row],[GBR/TO%]]-raceday_22_23[[#This Row],[Last Year GBR/TO%]], 0)</f>
        <v>8.8999999999999996E-2</v>
      </c>
    </row>
    <row r="4" spans="1:23" x14ac:dyDescent="0.3">
      <c r="A4" s="8">
        <v>45144</v>
      </c>
      <c r="B4" s="32" t="s">
        <v>33</v>
      </c>
      <c r="C4" s="32" t="s">
        <v>1</v>
      </c>
      <c r="D4" s="32" t="s">
        <v>27</v>
      </c>
      <c r="E4" s="3">
        <v>8</v>
      </c>
      <c r="F4" s="3">
        <v>84</v>
      </c>
      <c r="G4" s="3">
        <v>10.5</v>
      </c>
      <c r="H4" s="4">
        <v>0.25</v>
      </c>
      <c r="I4" s="5">
        <v>77900</v>
      </c>
      <c r="J4" s="5">
        <v>9738</v>
      </c>
      <c r="K4" s="4">
        <v>0.80900000000000005</v>
      </c>
      <c r="L4" s="4">
        <v>0.125</v>
      </c>
      <c r="M4" s="5">
        <v>564775</v>
      </c>
      <c r="N4" s="5">
        <v>63014</v>
      </c>
      <c r="O4" s="5">
        <v>78000</v>
      </c>
      <c r="P4" s="5">
        <v>147684</v>
      </c>
      <c r="Q4" s="4">
        <v>0.112</v>
      </c>
      <c r="R4" s="4">
        <v>0.80800000000000005</v>
      </c>
      <c r="S4" s="18">
        <v>7.2409999999999997</v>
      </c>
      <c r="T4" s="10">
        <v>509733</v>
      </c>
      <c r="U4" s="10">
        <v>135072</v>
      </c>
      <c r="V4" s="11">
        <v>0.26500000000000001</v>
      </c>
      <c r="W4" s="12">
        <f>IF(raceday_22_23[[#This Row],[Last Year Turnover]]&lt;&gt;0, raceday_22_23[[#This Row],[GBR/TO%]]-raceday_22_23[[#This Row],[Last Year GBR/TO%]], 0)</f>
        <v>-0.15300000000000002</v>
      </c>
    </row>
    <row r="5" spans="1:23" x14ac:dyDescent="0.3">
      <c r="A5" s="8">
        <v>45148</v>
      </c>
      <c r="B5" s="32" t="s">
        <v>31</v>
      </c>
      <c r="C5" s="32" t="s">
        <v>75</v>
      </c>
      <c r="D5" s="32" t="s">
        <v>76</v>
      </c>
      <c r="E5" s="3">
        <v>7</v>
      </c>
      <c r="F5" s="3">
        <v>63</v>
      </c>
      <c r="G5" s="3">
        <v>9</v>
      </c>
      <c r="H5" s="4">
        <v>0.57099999999999995</v>
      </c>
      <c r="I5" s="5">
        <v>75625</v>
      </c>
      <c r="J5" s="5">
        <v>10804</v>
      </c>
      <c r="K5" s="4">
        <v>0.69799999999999995</v>
      </c>
      <c r="L5" s="4">
        <v>0.14299999999999999</v>
      </c>
      <c r="M5" s="5">
        <v>368088</v>
      </c>
      <c r="N5" s="5">
        <v>52774</v>
      </c>
      <c r="O5" s="5">
        <v>75825</v>
      </c>
      <c r="P5" s="5">
        <v>158909</v>
      </c>
      <c r="Q5" s="4">
        <v>0.14299999999999999</v>
      </c>
      <c r="R5" s="4">
        <v>0.69599999999999995</v>
      </c>
      <c r="S5" s="18">
        <v>4.8540000000000001</v>
      </c>
      <c r="T5" s="10">
        <v>0</v>
      </c>
      <c r="U5" s="10">
        <v>0</v>
      </c>
      <c r="V5" s="11">
        <v>0</v>
      </c>
      <c r="W5" s="12">
        <f>IF(raceday_22_23[[#This Row],[Last Year Turnover]]&lt;&gt;0, raceday_22_23[[#This Row],[GBR/TO%]]-raceday_22_23[[#This Row],[Last Year GBR/TO%]], 0)</f>
        <v>0</v>
      </c>
    </row>
    <row r="6" spans="1:23" x14ac:dyDescent="0.3">
      <c r="A6" s="8">
        <v>45148</v>
      </c>
      <c r="B6" s="32" t="s">
        <v>31</v>
      </c>
      <c r="C6" s="32" t="s">
        <v>77</v>
      </c>
      <c r="D6" s="32" t="s">
        <v>26</v>
      </c>
      <c r="E6" s="3">
        <v>9</v>
      </c>
      <c r="F6" s="3">
        <v>80</v>
      </c>
      <c r="G6" s="3">
        <v>8.9</v>
      </c>
      <c r="H6" s="4">
        <v>0.77800000000000002</v>
      </c>
      <c r="I6" s="5">
        <v>104567</v>
      </c>
      <c r="J6" s="5">
        <v>11619</v>
      </c>
      <c r="K6" s="4">
        <v>6.6000000000000003E-2</v>
      </c>
      <c r="L6" s="4">
        <v>0.111</v>
      </c>
      <c r="M6" s="5">
        <v>567169</v>
      </c>
      <c r="N6" s="5">
        <v>6857</v>
      </c>
      <c r="O6" s="5">
        <v>104867.5</v>
      </c>
      <c r="P6" s="5">
        <v>269201</v>
      </c>
      <c r="Q6" s="4">
        <v>1.2E-2</v>
      </c>
      <c r="R6" s="4">
        <v>6.5000000000000002E-2</v>
      </c>
      <c r="S6" s="18">
        <v>5.4080000000000004</v>
      </c>
      <c r="T6" s="10">
        <v>576760</v>
      </c>
      <c r="U6" s="10">
        <v>81861</v>
      </c>
      <c r="V6" s="11">
        <v>0.14199999999999999</v>
      </c>
      <c r="W6" s="12">
        <f>IF(raceday_22_23[[#This Row],[Last Year Turnover]]&lt;&gt;0, raceday_22_23[[#This Row],[GBR/TO%]]-raceday_22_23[[#This Row],[Last Year GBR/TO%]], 0)</f>
        <v>-0.12999999999999998</v>
      </c>
    </row>
    <row r="7" spans="1:23" x14ac:dyDescent="0.3">
      <c r="A7" s="8">
        <v>45149</v>
      </c>
      <c r="B7" s="32" t="s">
        <v>32</v>
      </c>
      <c r="C7" s="32" t="s">
        <v>1</v>
      </c>
      <c r="D7" s="32" t="s">
        <v>27</v>
      </c>
      <c r="E7" s="3">
        <v>9</v>
      </c>
      <c r="F7" s="3">
        <v>77</v>
      </c>
      <c r="G7" s="3">
        <v>8.6</v>
      </c>
      <c r="H7" s="4">
        <v>0.66700000000000004</v>
      </c>
      <c r="I7" s="5">
        <v>123433</v>
      </c>
      <c r="J7" s="5">
        <v>13715</v>
      </c>
      <c r="K7" s="4">
        <v>0.70799999999999996</v>
      </c>
      <c r="L7" s="4">
        <v>0</v>
      </c>
      <c r="M7" s="5">
        <v>800305</v>
      </c>
      <c r="N7" s="5">
        <v>87403</v>
      </c>
      <c r="O7" s="5">
        <v>123432.5</v>
      </c>
      <c r="P7" s="5">
        <v>260712</v>
      </c>
      <c r="Q7" s="4">
        <v>0.109</v>
      </c>
      <c r="R7" s="4">
        <v>0.70799999999999996</v>
      </c>
      <c r="S7" s="18">
        <v>6.484</v>
      </c>
      <c r="T7" s="10">
        <v>964789</v>
      </c>
      <c r="U7" s="10">
        <v>108826</v>
      </c>
      <c r="V7" s="11">
        <v>0.113</v>
      </c>
      <c r="W7" s="12">
        <f>IF(raceday_22_23[[#This Row],[Last Year Turnover]]&lt;&gt;0, raceday_22_23[[#This Row],[GBR/TO%]]-raceday_22_23[[#This Row],[Last Year GBR/TO%]], 0)</f>
        <v>-4.0000000000000036E-3</v>
      </c>
    </row>
    <row r="8" spans="1:23" x14ac:dyDescent="0.3">
      <c r="A8" s="8">
        <v>45151</v>
      </c>
      <c r="B8" s="32" t="s">
        <v>33</v>
      </c>
      <c r="C8" s="32" t="s">
        <v>78</v>
      </c>
      <c r="D8" s="32" t="s">
        <v>27</v>
      </c>
      <c r="E8" s="3">
        <v>8</v>
      </c>
      <c r="F8" s="3">
        <v>92</v>
      </c>
      <c r="G8" s="3">
        <v>11.5</v>
      </c>
      <c r="H8" s="4">
        <v>0.375</v>
      </c>
      <c r="I8" s="5">
        <v>82265</v>
      </c>
      <c r="J8" s="5">
        <v>10283</v>
      </c>
      <c r="K8" s="4">
        <v>2.2930000000000001</v>
      </c>
      <c r="L8" s="4">
        <v>0.25</v>
      </c>
      <c r="M8" s="5">
        <v>818411</v>
      </c>
      <c r="N8" s="5">
        <v>188674</v>
      </c>
      <c r="O8" s="5">
        <v>82265</v>
      </c>
      <c r="P8" s="5">
        <v>207416</v>
      </c>
      <c r="Q8" s="4">
        <v>0.23100000000000001</v>
      </c>
      <c r="R8" s="4">
        <v>2.2930000000000001</v>
      </c>
      <c r="S8" s="18">
        <v>9.9480000000000004</v>
      </c>
      <c r="T8" s="10">
        <v>622417</v>
      </c>
      <c r="U8" s="10">
        <v>110148</v>
      </c>
      <c r="V8" s="11">
        <v>0.17699999999999999</v>
      </c>
      <c r="W8" s="12">
        <f>IF(raceday_22_23[[#This Row],[Last Year Turnover]]&lt;&gt;0, raceday_22_23[[#This Row],[GBR/TO%]]-raceday_22_23[[#This Row],[Last Year GBR/TO%]], 0)</f>
        <v>5.400000000000002E-2</v>
      </c>
    </row>
    <row r="9" spans="1:23" x14ac:dyDescent="0.3">
      <c r="A9" s="8">
        <v>45155</v>
      </c>
      <c r="B9" s="32" t="s">
        <v>31</v>
      </c>
      <c r="C9" s="32" t="s">
        <v>0</v>
      </c>
      <c r="D9" s="32" t="s">
        <v>26</v>
      </c>
      <c r="E9" s="3">
        <v>8</v>
      </c>
      <c r="F9" s="3">
        <v>72</v>
      </c>
      <c r="G9" s="3">
        <v>9</v>
      </c>
      <c r="H9" s="4">
        <v>0.25</v>
      </c>
      <c r="I9" s="5">
        <v>122262</v>
      </c>
      <c r="J9" s="5">
        <v>15283</v>
      </c>
      <c r="K9" s="4">
        <v>1.127</v>
      </c>
      <c r="L9" s="4">
        <v>0</v>
      </c>
      <c r="M9" s="5">
        <v>580961</v>
      </c>
      <c r="N9" s="5">
        <v>137766</v>
      </c>
      <c r="O9" s="5">
        <v>122262.5</v>
      </c>
      <c r="P9" s="5">
        <v>246745</v>
      </c>
      <c r="Q9" s="4">
        <v>0.23699999999999999</v>
      </c>
      <c r="R9" s="4">
        <v>1.127</v>
      </c>
      <c r="S9" s="18">
        <v>4.7519999999999998</v>
      </c>
      <c r="T9" s="10">
        <v>681156</v>
      </c>
      <c r="U9" s="10">
        <v>98043</v>
      </c>
      <c r="V9" s="11">
        <v>0.14399999999999999</v>
      </c>
      <c r="W9" s="12">
        <f>IF(raceday_22_23[[#This Row],[Last Year Turnover]]&lt;&gt;0, raceday_22_23[[#This Row],[GBR/TO%]]-raceday_22_23[[#This Row],[Last Year GBR/TO%]], 0)</f>
        <v>9.2999999999999999E-2</v>
      </c>
    </row>
    <row r="10" spans="1:23" x14ac:dyDescent="0.3">
      <c r="A10" s="8">
        <v>45156</v>
      </c>
      <c r="B10" s="32" t="s">
        <v>32</v>
      </c>
      <c r="C10" s="32" t="s">
        <v>1</v>
      </c>
      <c r="D10" s="32" t="s">
        <v>27</v>
      </c>
      <c r="E10" s="3">
        <v>9</v>
      </c>
      <c r="F10" s="3">
        <v>86</v>
      </c>
      <c r="G10" s="3">
        <v>9.6</v>
      </c>
      <c r="H10" s="4">
        <v>0.44400000000000001</v>
      </c>
      <c r="I10" s="5">
        <v>124630</v>
      </c>
      <c r="J10" s="5">
        <v>13848</v>
      </c>
      <c r="K10" s="4">
        <v>1.8080000000000001</v>
      </c>
      <c r="L10" s="4">
        <v>0</v>
      </c>
      <c r="M10" s="5">
        <v>869712</v>
      </c>
      <c r="N10" s="5">
        <v>225315</v>
      </c>
      <c r="O10" s="5">
        <v>124728.75</v>
      </c>
      <c r="P10" s="5">
        <v>328905</v>
      </c>
      <c r="Q10" s="4">
        <v>0.25900000000000001</v>
      </c>
      <c r="R10" s="4">
        <v>1.806</v>
      </c>
      <c r="S10" s="18">
        <v>6.9729999999999999</v>
      </c>
      <c r="T10" s="10">
        <v>949321</v>
      </c>
      <c r="U10" s="10">
        <v>249132</v>
      </c>
      <c r="V10" s="11">
        <v>0.26200000000000001</v>
      </c>
      <c r="W10" s="12">
        <f>IF(raceday_22_23[[#This Row],[Last Year Turnover]]&lt;&gt;0, raceday_22_23[[#This Row],[GBR/TO%]]-raceday_22_23[[#This Row],[Last Year GBR/TO%]], 0)</f>
        <v>-3.0000000000000027E-3</v>
      </c>
    </row>
    <row r="11" spans="1:23" x14ac:dyDescent="0.3">
      <c r="A11" s="8">
        <v>45158</v>
      </c>
      <c r="B11" s="32" t="s">
        <v>33</v>
      </c>
      <c r="C11" s="32" t="s">
        <v>79</v>
      </c>
      <c r="D11" s="32" t="s">
        <v>76</v>
      </c>
      <c r="E11" s="3">
        <v>10</v>
      </c>
      <c r="F11" s="3">
        <v>93</v>
      </c>
      <c r="G11" s="3">
        <v>9.3000000000000007</v>
      </c>
      <c r="H11" s="4">
        <v>0.2</v>
      </c>
      <c r="I11" s="5">
        <v>128402</v>
      </c>
      <c r="J11" s="5">
        <v>12840</v>
      </c>
      <c r="K11" s="4">
        <v>1.4730000000000001</v>
      </c>
      <c r="L11" s="4">
        <v>0.3</v>
      </c>
      <c r="M11" s="5">
        <v>905605</v>
      </c>
      <c r="N11" s="5">
        <v>189092</v>
      </c>
      <c r="O11" s="5">
        <v>128502.5</v>
      </c>
      <c r="P11" s="5">
        <v>185283</v>
      </c>
      <c r="Q11" s="4">
        <v>0.20899999999999999</v>
      </c>
      <c r="R11" s="4">
        <v>1.472</v>
      </c>
      <c r="S11" s="18">
        <v>7.0469999999999997</v>
      </c>
      <c r="T11" s="10">
        <v>810606</v>
      </c>
      <c r="U11" s="10">
        <v>163869</v>
      </c>
      <c r="V11" s="11">
        <v>0.20200000000000001</v>
      </c>
      <c r="W11" s="12">
        <f>IF(raceday_22_23[[#This Row],[Last Year Turnover]]&lt;&gt;0, raceday_22_23[[#This Row],[GBR/TO%]]-raceday_22_23[[#This Row],[Last Year GBR/TO%]], 0)</f>
        <v>6.9999999999999785E-3</v>
      </c>
    </row>
    <row r="12" spans="1:23" x14ac:dyDescent="0.3">
      <c r="A12" s="8">
        <v>45162</v>
      </c>
      <c r="B12" s="32" t="s">
        <v>31</v>
      </c>
      <c r="C12" s="32" t="s">
        <v>80</v>
      </c>
      <c r="D12" s="32" t="s">
        <v>76</v>
      </c>
      <c r="E12" s="3">
        <v>9</v>
      </c>
      <c r="F12" s="3">
        <v>81</v>
      </c>
      <c r="G12" s="3">
        <v>9</v>
      </c>
      <c r="H12" s="4">
        <v>0.55600000000000005</v>
      </c>
      <c r="I12" s="5">
        <v>91820</v>
      </c>
      <c r="J12" s="5">
        <v>10202</v>
      </c>
      <c r="K12" s="4">
        <v>0.35299999999999998</v>
      </c>
      <c r="L12" s="4">
        <v>0.111</v>
      </c>
      <c r="M12" s="5">
        <v>421878</v>
      </c>
      <c r="N12" s="5">
        <v>32448</v>
      </c>
      <c r="O12" s="5">
        <v>91920</v>
      </c>
      <c r="P12" s="5">
        <v>228617</v>
      </c>
      <c r="Q12" s="4">
        <v>7.6999999999999999E-2</v>
      </c>
      <c r="R12" s="4">
        <v>0.35299999999999998</v>
      </c>
      <c r="S12" s="18">
        <v>4.59</v>
      </c>
      <c r="T12" s="10">
        <v>362711</v>
      </c>
      <c r="U12" s="10">
        <v>99826</v>
      </c>
      <c r="V12" s="11">
        <v>0.27500000000000002</v>
      </c>
      <c r="W12" s="12">
        <f>IF(raceday_22_23[[#This Row],[Last Year Turnover]]&lt;&gt;0, raceday_22_23[[#This Row],[GBR/TO%]]-raceday_22_23[[#This Row],[Last Year GBR/TO%]], 0)</f>
        <v>-0.19800000000000001</v>
      </c>
    </row>
    <row r="13" spans="1:23" x14ac:dyDescent="0.3">
      <c r="A13" s="8">
        <v>45162</v>
      </c>
      <c r="B13" s="32" t="s">
        <v>31</v>
      </c>
      <c r="C13" s="32" t="s">
        <v>77</v>
      </c>
      <c r="D13" s="32" t="s">
        <v>26</v>
      </c>
      <c r="E13" s="3">
        <v>9</v>
      </c>
      <c r="F13" s="3">
        <v>91</v>
      </c>
      <c r="G13" s="3">
        <v>10.1</v>
      </c>
      <c r="H13" s="4">
        <v>0.222</v>
      </c>
      <c r="I13" s="5">
        <v>105377</v>
      </c>
      <c r="J13" s="5">
        <v>11709</v>
      </c>
      <c r="K13" s="4">
        <v>1.621</v>
      </c>
      <c r="L13" s="4">
        <v>0.111</v>
      </c>
      <c r="M13" s="5">
        <v>632811</v>
      </c>
      <c r="N13" s="5">
        <v>170791</v>
      </c>
      <c r="O13" s="5">
        <v>104477.5</v>
      </c>
      <c r="P13" s="5">
        <v>317409</v>
      </c>
      <c r="Q13" s="4">
        <v>0.27</v>
      </c>
      <c r="R13" s="4">
        <v>1.635</v>
      </c>
      <c r="S13" s="18">
        <v>6.0570000000000004</v>
      </c>
      <c r="T13" s="10">
        <v>693731</v>
      </c>
      <c r="U13" s="10">
        <v>94514</v>
      </c>
      <c r="V13" s="11">
        <v>0.13600000000000001</v>
      </c>
      <c r="W13" s="12">
        <f>IF(raceday_22_23[[#This Row],[Last Year Turnover]]&lt;&gt;0, raceday_22_23[[#This Row],[GBR/TO%]]-raceday_22_23[[#This Row],[Last Year GBR/TO%]], 0)</f>
        <v>0.13400000000000001</v>
      </c>
    </row>
    <row r="14" spans="1:23" x14ac:dyDescent="0.3">
      <c r="A14" s="8">
        <v>45163</v>
      </c>
      <c r="B14" s="32" t="s">
        <v>32</v>
      </c>
      <c r="C14" s="32" t="s">
        <v>1</v>
      </c>
      <c r="D14" s="32" t="s">
        <v>27</v>
      </c>
      <c r="E14" s="3">
        <v>10</v>
      </c>
      <c r="F14" s="3">
        <v>89</v>
      </c>
      <c r="G14" s="3">
        <v>8.9</v>
      </c>
      <c r="H14" s="4">
        <v>0.6</v>
      </c>
      <c r="I14" s="5">
        <v>187955</v>
      </c>
      <c r="J14" s="5">
        <v>18596</v>
      </c>
      <c r="K14" s="4">
        <v>1.1759999999999999</v>
      </c>
      <c r="L14" s="4">
        <v>0.1</v>
      </c>
      <c r="M14" s="5">
        <v>945503</v>
      </c>
      <c r="N14" s="5">
        <v>221104</v>
      </c>
      <c r="O14" s="5">
        <v>185955</v>
      </c>
      <c r="P14" s="5">
        <v>383706</v>
      </c>
      <c r="Q14" s="4">
        <v>0.23400000000000001</v>
      </c>
      <c r="R14" s="4">
        <v>1.1890000000000001</v>
      </c>
      <c r="S14" s="18">
        <v>5.085</v>
      </c>
      <c r="T14" s="10">
        <v>920492</v>
      </c>
      <c r="U14" s="10">
        <v>212685</v>
      </c>
      <c r="V14" s="11">
        <v>0.23100000000000001</v>
      </c>
      <c r="W14" s="12">
        <f>IF(raceday_22_23[[#This Row],[Last Year Turnover]]&lt;&gt;0, raceday_22_23[[#This Row],[GBR/TO%]]-raceday_22_23[[#This Row],[Last Year GBR/TO%]], 0)</f>
        <v>3.0000000000000027E-3</v>
      </c>
    </row>
    <row r="15" spans="1:23" x14ac:dyDescent="0.3">
      <c r="A15" s="8">
        <v>45165</v>
      </c>
      <c r="B15" s="32" t="s">
        <v>33</v>
      </c>
      <c r="C15" s="32" t="s">
        <v>81</v>
      </c>
      <c r="D15" s="32" t="s">
        <v>27</v>
      </c>
      <c r="E15" s="3">
        <v>10</v>
      </c>
      <c r="F15" s="3">
        <v>115</v>
      </c>
      <c r="G15" s="3">
        <v>11.5</v>
      </c>
      <c r="H15" s="4">
        <v>0.3</v>
      </c>
      <c r="I15" s="5">
        <v>101248</v>
      </c>
      <c r="J15" s="5">
        <v>10125</v>
      </c>
      <c r="K15" s="4">
        <v>1.9179999999999999</v>
      </c>
      <c r="L15" s="4">
        <v>0.1</v>
      </c>
      <c r="M15" s="5">
        <v>786047</v>
      </c>
      <c r="N15" s="5">
        <v>194213</v>
      </c>
      <c r="O15" s="5">
        <v>101447.5</v>
      </c>
      <c r="P15" s="5">
        <v>180886</v>
      </c>
      <c r="Q15" s="4">
        <v>0.247</v>
      </c>
      <c r="R15" s="4">
        <v>1.9139999999999999</v>
      </c>
      <c r="S15" s="18">
        <v>7.7480000000000002</v>
      </c>
      <c r="T15" s="10">
        <v>769732</v>
      </c>
      <c r="U15" s="10">
        <v>171069</v>
      </c>
      <c r="V15" s="11">
        <v>0.222</v>
      </c>
      <c r="W15" s="12">
        <f>IF(raceday_22_23[[#This Row],[Last Year Turnover]]&lt;&gt;0, raceday_22_23[[#This Row],[GBR/TO%]]-raceday_22_23[[#This Row],[Last Year GBR/TO%]], 0)</f>
        <v>2.4999999999999994E-2</v>
      </c>
    </row>
    <row r="16" spans="1:23" x14ac:dyDescent="0.3">
      <c r="A16" s="8">
        <v>45169</v>
      </c>
      <c r="B16" s="32" t="s">
        <v>31</v>
      </c>
      <c r="C16" s="32" t="s">
        <v>0</v>
      </c>
      <c r="D16" s="32" t="s">
        <v>26</v>
      </c>
      <c r="E16" s="3">
        <v>10</v>
      </c>
      <c r="F16" s="3">
        <v>95</v>
      </c>
      <c r="G16" s="3">
        <v>9.5</v>
      </c>
      <c r="H16" s="4">
        <v>0</v>
      </c>
      <c r="I16" s="5">
        <v>165218</v>
      </c>
      <c r="J16" s="5">
        <v>15772</v>
      </c>
      <c r="K16" s="4">
        <v>1.3839999999999999</v>
      </c>
      <c r="L16" s="4">
        <v>0.1</v>
      </c>
      <c r="M16" s="5">
        <v>745478</v>
      </c>
      <c r="N16" s="5">
        <v>228722</v>
      </c>
      <c r="O16" s="5">
        <v>157817.5</v>
      </c>
      <c r="P16" s="5">
        <v>358129</v>
      </c>
      <c r="Q16" s="4">
        <v>0.307</v>
      </c>
      <c r="R16" s="4">
        <v>1.4490000000000001</v>
      </c>
      <c r="S16" s="18">
        <v>4.7240000000000002</v>
      </c>
      <c r="T16" s="10">
        <v>779042</v>
      </c>
      <c r="U16" s="10">
        <v>105846</v>
      </c>
      <c r="V16" s="11">
        <v>0.13600000000000001</v>
      </c>
      <c r="W16" s="12">
        <f>IF(raceday_22_23[[#This Row],[Last Year Turnover]]&lt;&gt;0, raceday_22_23[[#This Row],[GBR/TO%]]-raceday_22_23[[#This Row],[Last Year GBR/TO%]], 0)</f>
        <v>0.17099999999999999</v>
      </c>
    </row>
    <row r="17" spans="1:23" x14ac:dyDescent="0.3">
      <c r="A17" s="8">
        <v>45170</v>
      </c>
      <c r="B17" s="32" t="s">
        <v>32</v>
      </c>
      <c r="C17" s="32" t="s">
        <v>75</v>
      </c>
      <c r="D17" s="32" t="s">
        <v>76</v>
      </c>
      <c r="E17" s="3">
        <v>7</v>
      </c>
      <c r="F17" s="3">
        <v>64</v>
      </c>
      <c r="G17" s="3">
        <v>9.1</v>
      </c>
      <c r="H17" s="4">
        <v>0.71399999999999997</v>
      </c>
      <c r="I17" s="5">
        <v>74150</v>
      </c>
      <c r="J17" s="5">
        <v>10593</v>
      </c>
      <c r="K17" s="4">
        <v>0.499</v>
      </c>
      <c r="L17" s="4">
        <v>0.28599999999999998</v>
      </c>
      <c r="M17" s="5">
        <v>411996</v>
      </c>
      <c r="N17" s="5">
        <v>37012</v>
      </c>
      <c r="O17" s="5">
        <v>74150</v>
      </c>
      <c r="P17" s="5">
        <v>0</v>
      </c>
      <c r="Q17" s="4">
        <v>0.09</v>
      </c>
      <c r="R17" s="4">
        <v>0.499</v>
      </c>
      <c r="S17" s="18">
        <v>5.556</v>
      </c>
      <c r="T17" s="10">
        <v>0</v>
      </c>
      <c r="U17" s="10">
        <v>0</v>
      </c>
      <c r="V17" s="11">
        <v>0</v>
      </c>
      <c r="W17" s="12">
        <f>IF(raceday_22_23[[#This Row],[Last Year Turnover]]&lt;&gt;0, raceday_22_23[[#This Row],[GBR/TO%]]-raceday_22_23[[#This Row],[Last Year GBR/TO%]], 0)</f>
        <v>0</v>
      </c>
    </row>
    <row r="18" spans="1:23" x14ac:dyDescent="0.3">
      <c r="A18" s="8">
        <v>45170</v>
      </c>
      <c r="B18" s="32" t="s">
        <v>32</v>
      </c>
      <c r="C18" s="32" t="s">
        <v>1</v>
      </c>
      <c r="D18" s="32" t="s">
        <v>27</v>
      </c>
      <c r="E18" s="3">
        <v>10</v>
      </c>
      <c r="F18" s="3">
        <v>98</v>
      </c>
      <c r="G18" s="3">
        <v>9.8000000000000007</v>
      </c>
      <c r="H18" s="4">
        <v>0.3</v>
      </c>
      <c r="I18" s="5">
        <v>155716</v>
      </c>
      <c r="J18" s="5">
        <v>15572</v>
      </c>
      <c r="K18" s="4">
        <v>1.704</v>
      </c>
      <c r="L18" s="4">
        <v>0.1</v>
      </c>
      <c r="M18" s="5">
        <v>1022956</v>
      </c>
      <c r="N18" s="5">
        <v>265331</v>
      </c>
      <c r="O18" s="5">
        <v>155817.5</v>
      </c>
      <c r="P18" s="5">
        <v>0</v>
      </c>
      <c r="Q18" s="4">
        <v>0.25900000000000001</v>
      </c>
      <c r="R18" s="4">
        <v>1.7030000000000001</v>
      </c>
      <c r="S18" s="18">
        <v>6.5650000000000004</v>
      </c>
      <c r="T18" s="10">
        <v>753332</v>
      </c>
      <c r="U18" s="10">
        <v>145770</v>
      </c>
      <c r="V18" s="11">
        <v>0.19400000000000001</v>
      </c>
      <c r="W18" s="12">
        <f>IF(raceday_22_23[[#This Row],[Last Year Turnover]]&lt;&gt;0, raceday_22_23[[#This Row],[GBR/TO%]]-raceday_22_23[[#This Row],[Last Year GBR/TO%]], 0)</f>
        <v>6.5000000000000002E-2</v>
      </c>
    </row>
    <row r="19" spans="1:23" x14ac:dyDescent="0.3">
      <c r="A19" s="8">
        <v>45172</v>
      </c>
      <c r="B19" s="32" t="s">
        <v>33</v>
      </c>
      <c r="C19" s="32" t="s">
        <v>78</v>
      </c>
      <c r="D19" s="32" t="s">
        <v>27</v>
      </c>
      <c r="E19" s="3">
        <v>10</v>
      </c>
      <c r="F19" s="3">
        <v>101</v>
      </c>
      <c r="G19" s="3">
        <v>10.1</v>
      </c>
      <c r="H19" s="4">
        <v>0.4</v>
      </c>
      <c r="I19" s="5">
        <v>99466</v>
      </c>
      <c r="J19" s="5">
        <v>9947</v>
      </c>
      <c r="K19" s="4">
        <v>1.617</v>
      </c>
      <c r="L19" s="4">
        <v>0.1</v>
      </c>
      <c r="M19" s="5">
        <v>786759</v>
      </c>
      <c r="N19" s="5">
        <v>160864</v>
      </c>
      <c r="O19" s="5">
        <v>99465</v>
      </c>
      <c r="P19" s="5">
        <v>0</v>
      </c>
      <c r="Q19" s="4">
        <v>0.20399999999999999</v>
      </c>
      <c r="R19" s="4">
        <v>1.617</v>
      </c>
      <c r="S19" s="18">
        <v>7.91</v>
      </c>
      <c r="T19" s="10">
        <v>804009</v>
      </c>
      <c r="U19" s="10">
        <v>150695</v>
      </c>
      <c r="V19" s="11">
        <v>0.187</v>
      </c>
      <c r="W19" s="12">
        <f>IF(raceday_22_23[[#This Row],[Last Year Turnover]]&lt;&gt;0, raceday_22_23[[#This Row],[GBR/TO%]]-raceday_22_23[[#This Row],[Last Year GBR/TO%]], 0)</f>
        <v>1.6999999999999987E-2</v>
      </c>
    </row>
    <row r="20" spans="1:23" x14ac:dyDescent="0.3">
      <c r="A20" s="8">
        <v>45176</v>
      </c>
      <c r="B20" s="32" t="s">
        <v>31</v>
      </c>
      <c r="C20" s="32" t="s">
        <v>82</v>
      </c>
      <c r="D20" s="32" t="s">
        <v>76</v>
      </c>
      <c r="E20" s="3">
        <v>9</v>
      </c>
      <c r="F20" s="3">
        <v>83</v>
      </c>
      <c r="G20" s="3">
        <v>9.1999999999999993</v>
      </c>
      <c r="H20" s="4">
        <v>0.33300000000000002</v>
      </c>
      <c r="I20" s="5">
        <v>100435</v>
      </c>
      <c r="J20" s="5">
        <v>11159</v>
      </c>
      <c r="K20" s="4">
        <v>0.99399999999999999</v>
      </c>
      <c r="L20" s="4">
        <v>0.111</v>
      </c>
      <c r="M20" s="5">
        <v>467922</v>
      </c>
      <c r="N20" s="5">
        <v>99849</v>
      </c>
      <c r="O20" s="5">
        <v>0</v>
      </c>
      <c r="P20" s="5">
        <v>0</v>
      </c>
      <c r="Q20" s="4">
        <v>0.21299999999999999</v>
      </c>
      <c r="R20" s="4">
        <v>0</v>
      </c>
      <c r="S20" s="18">
        <v>0</v>
      </c>
      <c r="T20" s="10">
        <v>507869</v>
      </c>
      <c r="U20" s="10">
        <v>132311</v>
      </c>
      <c r="V20" s="11">
        <v>0.26100000000000001</v>
      </c>
      <c r="W20" s="12">
        <f>IF(raceday_22_23[[#This Row],[Last Year Turnover]]&lt;&gt;0, raceday_22_23[[#This Row],[GBR/TO%]]-raceday_22_23[[#This Row],[Last Year GBR/TO%]], 0)</f>
        <v>-4.8000000000000015E-2</v>
      </c>
    </row>
    <row r="21" spans="1:23" x14ac:dyDescent="0.3">
      <c r="A21" s="8">
        <v>45176</v>
      </c>
      <c r="B21" s="32" t="s">
        <v>31</v>
      </c>
      <c r="C21" s="32" t="s">
        <v>77</v>
      </c>
      <c r="D21" s="32" t="s">
        <v>26</v>
      </c>
      <c r="E21" s="3">
        <v>10</v>
      </c>
      <c r="F21" s="3">
        <v>101</v>
      </c>
      <c r="G21" s="3">
        <v>10.1</v>
      </c>
      <c r="H21" s="4">
        <v>0.3</v>
      </c>
      <c r="I21" s="5">
        <v>140100</v>
      </c>
      <c r="J21" s="5">
        <v>14010</v>
      </c>
      <c r="K21" s="4">
        <v>1.54</v>
      </c>
      <c r="L21" s="4">
        <v>0.1</v>
      </c>
      <c r="M21" s="5">
        <v>620857</v>
      </c>
      <c r="N21" s="5">
        <v>215757</v>
      </c>
      <c r="O21" s="5">
        <v>0</v>
      </c>
      <c r="P21" s="5">
        <v>0</v>
      </c>
      <c r="Q21" s="4">
        <v>0.34799999999999998</v>
      </c>
      <c r="R21" s="4">
        <v>0</v>
      </c>
      <c r="S21" s="18">
        <v>0</v>
      </c>
      <c r="T21" s="10">
        <v>703954</v>
      </c>
      <c r="U21" s="10">
        <v>119458</v>
      </c>
      <c r="V21" s="11">
        <v>0.17</v>
      </c>
      <c r="W21" s="12">
        <f>IF(raceday_22_23[[#This Row],[Last Year Turnover]]&lt;&gt;0, raceday_22_23[[#This Row],[GBR/TO%]]-raceday_22_23[[#This Row],[Last Year GBR/TO%]], 0)</f>
        <v>0.17799999999999996</v>
      </c>
    </row>
    <row r="22" spans="1:23" x14ac:dyDescent="0.3">
      <c r="A22" s="8">
        <v>45177</v>
      </c>
      <c r="B22" s="32" t="s">
        <v>32</v>
      </c>
      <c r="C22" s="32" t="s">
        <v>1</v>
      </c>
      <c r="D22" s="32" t="s">
        <v>27</v>
      </c>
      <c r="E22" s="3">
        <v>10</v>
      </c>
      <c r="F22" s="3">
        <v>111</v>
      </c>
      <c r="G22" s="3">
        <v>11.1</v>
      </c>
      <c r="H22" s="4">
        <v>0.4</v>
      </c>
      <c r="I22" s="5">
        <v>208781</v>
      </c>
      <c r="J22" s="5">
        <v>20878</v>
      </c>
      <c r="K22" s="4">
        <v>1.2849999999999999</v>
      </c>
      <c r="L22" s="4">
        <v>0.3</v>
      </c>
      <c r="M22" s="5">
        <v>1086914</v>
      </c>
      <c r="N22" s="5">
        <v>268190</v>
      </c>
      <c r="O22" s="5">
        <v>0</v>
      </c>
      <c r="P22" s="5">
        <v>0</v>
      </c>
      <c r="Q22" s="4">
        <v>0.247</v>
      </c>
      <c r="R22" s="4">
        <v>0</v>
      </c>
      <c r="S22" s="18">
        <v>0</v>
      </c>
      <c r="T22" s="10">
        <v>1159690</v>
      </c>
      <c r="U22" s="10">
        <v>184183</v>
      </c>
      <c r="V22" s="11">
        <v>0.159</v>
      </c>
      <c r="W22" s="12">
        <f>IF(raceday_22_23[[#This Row],[Last Year Turnover]]&lt;&gt;0, raceday_22_23[[#This Row],[GBR/TO%]]-raceday_22_23[[#This Row],[Last Year GBR/TO%]], 0)</f>
        <v>8.7999999999999995E-2</v>
      </c>
    </row>
    <row r="23" spans="1:23" x14ac:dyDescent="0.3">
      <c r="A23" s="8">
        <v>45179</v>
      </c>
      <c r="B23" s="32" t="s">
        <v>33</v>
      </c>
      <c r="C23" s="32" t="s">
        <v>83</v>
      </c>
      <c r="D23" s="32" t="s">
        <v>27</v>
      </c>
      <c r="E23" s="3">
        <v>11</v>
      </c>
      <c r="F23" s="3">
        <v>142</v>
      </c>
      <c r="G23" s="3">
        <v>12.9</v>
      </c>
      <c r="H23" s="4">
        <v>0.27300000000000002</v>
      </c>
      <c r="I23" s="5">
        <v>122925</v>
      </c>
      <c r="J23" s="5">
        <v>11175</v>
      </c>
      <c r="K23" s="4">
        <v>1.9530000000000001</v>
      </c>
      <c r="L23" s="4">
        <v>0.182</v>
      </c>
      <c r="M23" s="5">
        <v>1040638</v>
      </c>
      <c r="N23" s="5">
        <v>240130</v>
      </c>
      <c r="O23" s="5">
        <v>0</v>
      </c>
      <c r="P23" s="5">
        <v>0</v>
      </c>
      <c r="Q23" s="4">
        <v>0.23100000000000001</v>
      </c>
      <c r="R23" s="4">
        <v>0</v>
      </c>
      <c r="S23" s="18">
        <v>0</v>
      </c>
      <c r="T23" s="10">
        <v>897151</v>
      </c>
      <c r="U23" s="10">
        <v>252836</v>
      </c>
      <c r="V23" s="11">
        <v>0.28199999999999997</v>
      </c>
      <c r="W23" s="12">
        <f>IF(raceday_22_23[[#This Row],[Last Year Turnover]]&lt;&gt;0, raceday_22_23[[#This Row],[GBR/TO%]]-raceday_22_23[[#This Row],[Last Year GBR/TO%]], 0)</f>
        <v>-5.0999999999999962E-2</v>
      </c>
    </row>
    <row r="24" spans="1:23" x14ac:dyDescent="0.3">
      <c r="O24" s="4"/>
    </row>
    <row r="25" spans="1:23" x14ac:dyDescent="0.3">
      <c r="O25" s="4"/>
    </row>
    <row r="26" spans="1:23" x14ac:dyDescent="0.3">
      <c r="O26" s="21"/>
      <c r="P26" s="4"/>
    </row>
    <row r="30" spans="1:23" x14ac:dyDescent="0.3">
      <c r="U30" s="20"/>
    </row>
  </sheetData>
  <phoneticPr fontId="4" type="noConversion"/>
  <conditionalFormatting sqref="W2:W1048576">
    <cfRule type="cellIs" dxfId="43" priority="1" operator="lessThan">
      <formula>0</formula>
    </cfRule>
    <cfRule type="cellIs" dxfId="42" priority="2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scale="5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D53-5275-42B8-A7EA-52343970C743}">
  <sheetPr codeName="Sheet3">
    <pageSetUpPr fitToPage="1"/>
  </sheetPr>
  <dimension ref="A1:T12"/>
  <sheetViews>
    <sheetView workbookViewId="0"/>
  </sheetViews>
  <sheetFormatPr defaultColWidth="9.109375" defaultRowHeight="14.4" x14ac:dyDescent="0.3"/>
  <cols>
    <col min="1" max="1" width="15.33203125" style="3" bestFit="1" customWidth="1"/>
    <col min="2" max="2" width="29.33203125" style="3" bestFit="1" customWidth="1"/>
    <col min="3" max="3" width="8" style="3" bestFit="1" customWidth="1"/>
    <col min="4" max="4" width="9.6640625" style="3" bestFit="1" customWidth="1"/>
    <col min="5" max="5" width="9.33203125" style="3" bestFit="1" customWidth="1"/>
    <col min="6" max="6" width="12.33203125" style="4" bestFit="1" customWidth="1"/>
    <col min="7" max="7" width="20.6640625" style="5" bestFit="1" customWidth="1"/>
    <col min="8" max="8" width="16.6640625" style="5" bestFit="1" customWidth="1"/>
    <col min="9" max="9" width="13.6640625" style="4" bestFit="1" customWidth="1"/>
    <col min="10" max="10" width="13.109375" style="4" bestFit="1" customWidth="1"/>
    <col min="11" max="11" width="10.88671875" style="5" bestFit="1" customWidth="1"/>
    <col min="12" max="12" width="9.88671875" style="5" bestFit="1" customWidth="1"/>
    <col min="13" max="13" width="10" style="5" bestFit="1" customWidth="1"/>
    <col min="14" max="14" width="17.109375" style="5" bestFit="1" customWidth="1"/>
    <col min="15" max="15" width="11.33203125" style="4" bestFit="1" customWidth="1"/>
    <col min="16" max="16" width="15.88671875" style="6" bestFit="1" customWidth="1"/>
    <col min="17" max="17" width="20.33203125" style="4" bestFit="1" customWidth="1"/>
    <col min="18" max="18" width="20.88671875" style="23" bestFit="1" customWidth="1"/>
    <col min="19" max="19" width="5.33203125" style="4" bestFit="1" customWidth="1"/>
    <col min="20" max="20" width="16.6640625" style="4" bestFit="1" customWidth="1"/>
    <col min="21" max="21" width="15.88671875" style="3" bestFit="1" customWidth="1"/>
    <col min="22" max="22" width="32.5546875" style="3" bestFit="1" customWidth="1"/>
    <col min="23" max="23" width="13" style="3" bestFit="1" customWidth="1"/>
    <col min="24" max="24" width="15.109375" style="3" bestFit="1" customWidth="1"/>
    <col min="25" max="25" width="16.109375" style="3" bestFit="1" customWidth="1"/>
    <col min="26" max="26" width="15.109375" style="3" bestFit="1" customWidth="1"/>
    <col min="27" max="27" width="14" style="3" bestFit="1" customWidth="1"/>
    <col min="28" max="28" width="17" style="3" bestFit="1" customWidth="1"/>
    <col min="29" max="29" width="10.88671875" style="3" bestFit="1" customWidth="1"/>
    <col min="30" max="30" width="12.109375" style="3" bestFit="1" customWidth="1"/>
    <col min="31" max="31" width="18.44140625" style="3" bestFit="1" customWidth="1"/>
    <col min="32" max="32" width="20.88671875" style="3" bestFit="1" customWidth="1"/>
    <col min="33" max="33" width="12.44140625" style="3" bestFit="1" customWidth="1"/>
    <col min="34" max="34" width="12.5546875" style="3" bestFit="1" customWidth="1"/>
    <col min="35" max="35" width="18.109375" style="3" bestFit="1" customWidth="1"/>
    <col min="36" max="16384" width="9.109375" style="3"/>
  </cols>
  <sheetData>
    <row r="1" spans="1:20" x14ac:dyDescent="0.3">
      <c r="A1" s="14" t="s">
        <v>2</v>
      </c>
      <c r="B1" s="14" t="s">
        <v>3</v>
      </c>
      <c r="C1" s="14" t="s">
        <v>4</v>
      </c>
      <c r="D1" s="14" t="s">
        <v>5</v>
      </c>
      <c r="E1" s="14" t="s">
        <v>6</v>
      </c>
      <c r="F1" s="15" t="s">
        <v>7</v>
      </c>
      <c r="G1" s="16" t="s">
        <v>8</v>
      </c>
      <c r="H1" s="16" t="s">
        <v>9</v>
      </c>
      <c r="I1" s="15" t="s">
        <v>10</v>
      </c>
      <c r="J1" s="15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5" t="s">
        <v>16</v>
      </c>
      <c r="P1" s="17" t="s">
        <v>17</v>
      </c>
      <c r="Q1" s="11" t="s">
        <v>48</v>
      </c>
      <c r="R1" s="24" t="s">
        <v>70</v>
      </c>
      <c r="S1" s="3"/>
      <c r="T1" s="3"/>
    </row>
    <row r="2" spans="1:20" x14ac:dyDescent="0.3">
      <c r="A2" s="3" t="s">
        <v>72</v>
      </c>
      <c r="B2" s="3" t="s">
        <v>1</v>
      </c>
      <c r="C2" s="3">
        <v>55</v>
      </c>
      <c r="D2" s="3">
        <v>515</v>
      </c>
      <c r="E2" s="3">
        <v>9.4</v>
      </c>
      <c r="F2" s="4">
        <v>0.47299999999999998</v>
      </c>
      <c r="G2" s="5">
        <v>785863</v>
      </c>
      <c r="H2" s="5">
        <v>14288.4</v>
      </c>
      <c r="I2" s="4">
        <v>1.2969999999999999</v>
      </c>
      <c r="J2" s="4">
        <v>0.109</v>
      </c>
      <c r="K2" s="5">
        <v>5059005</v>
      </c>
      <c r="L2" s="5">
        <v>1019519</v>
      </c>
      <c r="M2" s="5">
        <v>630443.75</v>
      </c>
      <c r="N2" s="5">
        <v>1392611</v>
      </c>
      <c r="O2" s="4">
        <v>0.20200000000000001</v>
      </c>
      <c r="P2" s="4">
        <v>1.617</v>
      </c>
      <c r="Q2" s="11">
        <v>8.0250000000000004</v>
      </c>
      <c r="R2" s="22">
        <f>club_summary_data_22_23[[#This Row],[Turnover]]/club_summary_data_22_23[[#This Row],[Races]]</f>
        <v>91981.909090909088</v>
      </c>
      <c r="S2" s="3"/>
      <c r="T2" s="3"/>
    </row>
    <row r="3" spans="1:20" x14ac:dyDescent="0.3">
      <c r="A3" s="3" t="s">
        <v>72</v>
      </c>
      <c r="B3" s="3" t="s">
        <v>79</v>
      </c>
      <c r="C3" s="3">
        <v>10</v>
      </c>
      <c r="D3" s="3">
        <v>93</v>
      </c>
      <c r="E3" s="3">
        <v>9.3000000000000007</v>
      </c>
      <c r="F3" s="4">
        <v>0.2</v>
      </c>
      <c r="G3" s="5">
        <v>128402</v>
      </c>
      <c r="H3" s="5">
        <v>12840.2</v>
      </c>
      <c r="I3" s="4">
        <v>1.4730000000000001</v>
      </c>
      <c r="J3" s="4">
        <v>0.3</v>
      </c>
      <c r="K3" s="5">
        <v>905605</v>
      </c>
      <c r="L3" s="5">
        <v>189092</v>
      </c>
      <c r="M3" s="5">
        <v>128502.5</v>
      </c>
      <c r="N3" s="5">
        <v>185283</v>
      </c>
      <c r="O3" s="4">
        <v>0.20899999999999999</v>
      </c>
      <c r="P3" s="4">
        <v>1.472</v>
      </c>
      <c r="Q3" s="11">
        <v>7.0469999999999997</v>
      </c>
      <c r="R3" s="22">
        <f>club_summary_data_22_23[[#This Row],[Turnover]]/club_summary_data_22_23[[#This Row],[Races]]</f>
        <v>90560.5</v>
      </c>
      <c r="S3" s="3"/>
      <c r="T3" s="3"/>
    </row>
    <row r="4" spans="1:20" x14ac:dyDescent="0.3">
      <c r="A4" s="3" t="s">
        <v>72</v>
      </c>
      <c r="B4" s="3" t="s">
        <v>78</v>
      </c>
      <c r="C4" s="3">
        <v>18</v>
      </c>
      <c r="D4" s="3">
        <v>193</v>
      </c>
      <c r="E4" s="3">
        <v>10.7</v>
      </c>
      <c r="F4" s="4">
        <v>0.38900000000000001</v>
      </c>
      <c r="G4" s="5">
        <v>181731</v>
      </c>
      <c r="H4" s="5">
        <v>10096.200000000001</v>
      </c>
      <c r="I4" s="4">
        <v>1.923</v>
      </c>
      <c r="J4" s="4">
        <v>0.16700000000000001</v>
      </c>
      <c r="K4" s="5">
        <v>1605170</v>
      </c>
      <c r="L4" s="5">
        <v>349553</v>
      </c>
      <c r="M4" s="5">
        <v>82265</v>
      </c>
      <c r="N4" s="5">
        <v>207416</v>
      </c>
      <c r="O4" s="4">
        <v>0.218</v>
      </c>
      <c r="P4" s="4">
        <v>4.2489999999999997</v>
      </c>
      <c r="Q4" s="11">
        <v>19.512</v>
      </c>
      <c r="R4" s="22">
        <f>club_summary_data_22_23[[#This Row],[Turnover]]/club_summary_data_22_23[[#This Row],[Races]]</f>
        <v>89176.111111111109</v>
      </c>
      <c r="S4" s="3"/>
      <c r="T4" s="3"/>
    </row>
    <row r="5" spans="1:20" x14ac:dyDescent="0.3">
      <c r="A5" s="3" t="s">
        <v>72</v>
      </c>
      <c r="B5" s="3" t="s">
        <v>81</v>
      </c>
      <c r="C5" s="3">
        <v>10</v>
      </c>
      <c r="D5" s="3">
        <v>115</v>
      </c>
      <c r="E5" s="3">
        <v>11.5</v>
      </c>
      <c r="F5" s="4">
        <v>0.3</v>
      </c>
      <c r="G5" s="5">
        <v>101248</v>
      </c>
      <c r="H5" s="5">
        <v>10124.799999999999</v>
      </c>
      <c r="I5" s="4">
        <v>1.9179999999999999</v>
      </c>
      <c r="J5" s="4">
        <v>0.1</v>
      </c>
      <c r="K5" s="5">
        <v>786047</v>
      </c>
      <c r="L5" s="5">
        <v>194213</v>
      </c>
      <c r="M5" s="5">
        <v>101447.5</v>
      </c>
      <c r="N5" s="5">
        <v>180886</v>
      </c>
      <c r="O5" s="4">
        <v>0.247</v>
      </c>
      <c r="P5" s="4">
        <v>1.9139999999999999</v>
      </c>
      <c r="Q5" s="11">
        <v>7.7480000000000002</v>
      </c>
      <c r="R5" s="22">
        <f>club_summary_data_22_23[[#This Row],[Turnover]]/club_summary_data_22_23[[#This Row],[Races]]</f>
        <v>78604.7</v>
      </c>
      <c r="S5" s="3"/>
      <c r="T5" s="3"/>
    </row>
    <row r="6" spans="1:20" x14ac:dyDescent="0.3">
      <c r="A6" s="3" t="s">
        <v>72</v>
      </c>
      <c r="B6" s="3" t="s">
        <v>0</v>
      </c>
      <c r="C6" s="3">
        <v>28</v>
      </c>
      <c r="D6" s="3">
        <v>254</v>
      </c>
      <c r="E6" s="3">
        <v>9.1</v>
      </c>
      <c r="F6" s="4">
        <v>0.17899999999999999</v>
      </c>
      <c r="G6" s="5">
        <v>434356</v>
      </c>
      <c r="H6" s="5">
        <v>15512.7</v>
      </c>
      <c r="I6" s="4">
        <v>1.117</v>
      </c>
      <c r="J6" s="4">
        <v>7.0999999999999994E-2</v>
      </c>
      <c r="K6" s="5">
        <v>2057299</v>
      </c>
      <c r="L6" s="5">
        <v>485134</v>
      </c>
      <c r="M6" s="5">
        <v>434555</v>
      </c>
      <c r="N6" s="5">
        <v>595144</v>
      </c>
      <c r="O6" s="4">
        <v>0.23599999999999999</v>
      </c>
      <c r="P6" s="4">
        <v>1.1160000000000001</v>
      </c>
      <c r="Q6" s="11">
        <v>4.734</v>
      </c>
      <c r="R6" s="22">
        <f>club_summary_data_22_23[[#This Row],[Turnover]]/club_summary_data_22_23[[#This Row],[Races]]</f>
        <v>73474.96428571429</v>
      </c>
      <c r="S6" s="3"/>
      <c r="T6" s="3"/>
    </row>
    <row r="7" spans="1:20" x14ac:dyDescent="0.3">
      <c r="A7" s="3" t="s">
        <v>72</v>
      </c>
      <c r="B7" s="3" t="s">
        <v>77</v>
      </c>
      <c r="C7" s="3">
        <v>18</v>
      </c>
      <c r="D7" s="3">
        <v>171</v>
      </c>
      <c r="E7" s="3">
        <v>9.5</v>
      </c>
      <c r="F7" s="4">
        <v>0.5</v>
      </c>
      <c r="G7" s="5">
        <v>209944</v>
      </c>
      <c r="H7" s="5">
        <v>11663.6</v>
      </c>
      <c r="I7" s="4">
        <v>0.84599999999999997</v>
      </c>
      <c r="J7" s="4">
        <v>0.111</v>
      </c>
      <c r="K7" s="5">
        <v>1199980</v>
      </c>
      <c r="L7" s="5">
        <v>177648</v>
      </c>
      <c r="M7" s="5">
        <v>209345</v>
      </c>
      <c r="N7" s="5">
        <v>586610</v>
      </c>
      <c r="O7" s="4">
        <v>0.14799999999999999</v>
      </c>
      <c r="P7" s="4">
        <v>0.84899999999999998</v>
      </c>
      <c r="Q7" s="11">
        <v>5.7320000000000002</v>
      </c>
      <c r="R7" s="22">
        <f>club_summary_data_22_23[[#This Row],[Turnover]]/club_summary_data_22_23[[#This Row],[Races]]</f>
        <v>66665.555555555562</v>
      </c>
      <c r="S7" s="3"/>
      <c r="T7" s="3"/>
    </row>
    <row r="8" spans="1:20" x14ac:dyDescent="0.3">
      <c r="A8" s="3" t="s">
        <v>72</v>
      </c>
      <c r="B8" s="3" t="s">
        <v>75</v>
      </c>
      <c r="C8" s="3">
        <v>14</v>
      </c>
      <c r="D8" s="3">
        <v>127</v>
      </c>
      <c r="E8" s="3">
        <v>9.1</v>
      </c>
      <c r="F8" s="4">
        <v>0.64300000000000002</v>
      </c>
      <c r="G8" s="5">
        <v>149775</v>
      </c>
      <c r="H8" s="5">
        <v>10698.2</v>
      </c>
      <c r="I8" s="4">
        <v>0.59899999999999998</v>
      </c>
      <c r="J8" s="4">
        <v>0.214</v>
      </c>
      <c r="K8" s="5">
        <v>780084</v>
      </c>
      <c r="L8" s="5">
        <v>89786</v>
      </c>
      <c r="M8" s="5">
        <v>75825</v>
      </c>
      <c r="N8" s="5">
        <v>158909</v>
      </c>
      <c r="O8" s="4">
        <v>0.115</v>
      </c>
      <c r="P8" s="4">
        <v>1.1839999999999999</v>
      </c>
      <c r="Q8" s="11">
        <v>10.288</v>
      </c>
      <c r="R8" s="22">
        <f>club_summary_data_22_23[[#This Row],[Turnover]]/club_summary_data_22_23[[#This Row],[Races]]</f>
        <v>55720.285714285717</v>
      </c>
      <c r="S8" s="3"/>
      <c r="T8" s="3"/>
    </row>
    <row r="9" spans="1:20" x14ac:dyDescent="0.3">
      <c r="A9" s="3" t="s">
        <v>72</v>
      </c>
      <c r="B9" s="3" t="s">
        <v>80</v>
      </c>
      <c r="C9" s="3">
        <v>9</v>
      </c>
      <c r="D9" s="3">
        <v>81</v>
      </c>
      <c r="E9" s="3">
        <v>9</v>
      </c>
      <c r="F9" s="4">
        <v>0.55600000000000005</v>
      </c>
      <c r="G9" s="5">
        <v>91820</v>
      </c>
      <c r="H9" s="5">
        <v>10202.200000000001</v>
      </c>
      <c r="I9" s="4">
        <v>0.35299999999999998</v>
      </c>
      <c r="J9" s="4">
        <v>0.111</v>
      </c>
      <c r="K9" s="5">
        <v>421878</v>
      </c>
      <c r="L9" s="5">
        <v>32448</v>
      </c>
      <c r="M9" s="5">
        <v>91920</v>
      </c>
      <c r="N9" s="5">
        <v>228617</v>
      </c>
      <c r="O9" s="4">
        <v>7.6999999999999999E-2</v>
      </c>
      <c r="P9" s="4">
        <v>0.35299999999999998</v>
      </c>
      <c r="Q9" s="11">
        <v>4.59</v>
      </c>
      <c r="R9" s="22">
        <f>club_summary_data_22_23[[#This Row],[Turnover]]/club_summary_data_22_23[[#This Row],[Races]]</f>
        <v>46875.333333333336</v>
      </c>
      <c r="S9" s="3"/>
      <c r="T9" s="3"/>
    </row>
    <row r="10" spans="1:20" x14ac:dyDescent="0.3">
      <c r="S10" s="3"/>
      <c r="T10" s="3"/>
    </row>
    <row r="11" spans="1:20" x14ac:dyDescent="0.3">
      <c r="S11" s="3"/>
      <c r="T11" s="3"/>
    </row>
    <row r="12" spans="1:20" x14ac:dyDescent="0.3">
      <c r="M12" s="4"/>
      <c r="S12" s="3"/>
      <c r="T12" s="3"/>
    </row>
  </sheetData>
  <pageMargins left="0.51181102362204722" right="0.51181102362204722" top="0.55118110236220474" bottom="0.55118110236220474" header="0.31496062992125984" footer="0.31496062992125984"/>
  <pageSetup paperSize="9" scale="7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174D-E93B-4F01-B732-68C882F5A00B}">
  <sheetPr codeName="Sheet4"/>
  <dimension ref="A1:S19"/>
  <sheetViews>
    <sheetView workbookViewId="0"/>
  </sheetViews>
  <sheetFormatPr defaultColWidth="9.109375" defaultRowHeight="14.4" x14ac:dyDescent="0.3"/>
  <cols>
    <col min="1" max="1" width="15.33203125" style="3" bestFit="1" customWidth="1"/>
    <col min="2" max="2" width="13.77734375" style="3" bestFit="1" customWidth="1"/>
    <col min="3" max="3" width="8" style="3" bestFit="1" customWidth="1"/>
    <col min="4" max="4" width="9.6640625" style="3" bestFit="1" customWidth="1"/>
    <col min="5" max="5" width="9.33203125" style="3" bestFit="1" customWidth="1"/>
    <col min="6" max="6" width="12.33203125" style="3" bestFit="1" customWidth="1"/>
    <col min="7" max="7" width="20.77734375" style="3" bestFit="1" customWidth="1"/>
    <col min="8" max="8" width="16.6640625" style="3" bestFit="1" customWidth="1"/>
    <col min="9" max="9" width="13.6640625" style="3" bestFit="1" customWidth="1"/>
    <col min="10" max="10" width="13.109375" style="3" bestFit="1" customWidth="1"/>
    <col min="11" max="11" width="10.88671875" style="3" bestFit="1" customWidth="1"/>
    <col min="12" max="12" width="9.88671875" style="3" bestFit="1" customWidth="1"/>
    <col min="13" max="13" width="10" style="3" bestFit="1" customWidth="1"/>
    <col min="14" max="14" width="17.109375" style="3" bestFit="1" customWidth="1"/>
    <col min="15" max="15" width="11.33203125" style="3" bestFit="1" customWidth="1"/>
    <col min="16" max="16" width="15.88671875" style="3" bestFit="1" customWidth="1"/>
    <col min="17" max="17" width="20.21875" style="3" bestFit="1" customWidth="1"/>
    <col min="18" max="18" width="13.88671875" style="3" customWidth="1"/>
    <col min="19" max="19" width="18.109375" style="3" customWidth="1"/>
    <col min="20" max="16384" width="9.109375" style="3"/>
  </cols>
  <sheetData>
    <row r="1" spans="1:19" x14ac:dyDescent="0.3">
      <c r="A1" s="3" t="s">
        <v>2</v>
      </c>
      <c r="B1" s="3" t="s">
        <v>25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t="s">
        <v>48</v>
      </c>
    </row>
    <row r="2" spans="1:19" x14ac:dyDescent="0.3">
      <c r="A2" s="3" t="s">
        <v>72</v>
      </c>
      <c r="B2" s="3" t="s">
        <v>26</v>
      </c>
      <c r="C2" s="3">
        <v>56</v>
      </c>
      <c r="D2" s="3">
        <v>526</v>
      </c>
      <c r="E2" s="3">
        <v>9.4</v>
      </c>
      <c r="F2" s="4">
        <v>0.30399999999999999</v>
      </c>
      <c r="G2" s="5">
        <v>784400</v>
      </c>
      <c r="H2" s="5">
        <v>14007.1</v>
      </c>
      <c r="I2" s="4">
        <v>1.1200000000000001</v>
      </c>
      <c r="J2" s="4">
        <v>8.8999999999999996E-2</v>
      </c>
      <c r="K2" s="5">
        <v>3878136</v>
      </c>
      <c r="L2" s="5">
        <v>878516</v>
      </c>
      <c r="M2" s="5">
        <v>643900</v>
      </c>
      <c r="N2" s="5">
        <v>1539883</v>
      </c>
      <c r="O2" s="4">
        <v>0.22700000000000001</v>
      </c>
      <c r="P2" s="4">
        <v>1.3640000000000001</v>
      </c>
      <c r="Q2" s="4">
        <v>6.0229999999999997</v>
      </c>
    </row>
    <row r="3" spans="1:19" x14ac:dyDescent="0.3">
      <c r="A3" s="3" t="s">
        <v>72</v>
      </c>
      <c r="B3" s="3" t="s">
        <v>27</v>
      </c>
      <c r="C3" s="3">
        <v>104</v>
      </c>
      <c r="D3" s="3">
        <v>1076</v>
      </c>
      <c r="E3" s="3">
        <v>10.3</v>
      </c>
      <c r="F3" s="4">
        <v>0.41299999999999998</v>
      </c>
      <c r="G3" s="5">
        <v>1400548</v>
      </c>
      <c r="H3" s="5">
        <v>13466.8</v>
      </c>
      <c r="I3" s="4">
        <v>1.4790000000000001</v>
      </c>
      <c r="J3" s="4">
        <v>0.14399999999999999</v>
      </c>
      <c r="K3" s="5">
        <v>9577774</v>
      </c>
      <c r="L3" s="5">
        <v>2071590</v>
      </c>
      <c r="M3" s="5">
        <v>1069438.75</v>
      </c>
      <c r="N3" s="5">
        <v>1780913</v>
      </c>
      <c r="O3" s="4">
        <v>0.216</v>
      </c>
      <c r="P3" s="4">
        <v>1.9370000000000001</v>
      </c>
      <c r="Q3" s="4">
        <v>8.9559999999999995</v>
      </c>
    </row>
    <row r="4" spans="1:19" x14ac:dyDescent="0.3">
      <c r="A4" s="3" t="s">
        <v>72</v>
      </c>
      <c r="B4" s="3" t="s">
        <v>76</v>
      </c>
      <c r="C4" s="3">
        <v>42</v>
      </c>
      <c r="D4" s="3">
        <v>384</v>
      </c>
      <c r="E4" s="3">
        <v>9.1</v>
      </c>
      <c r="F4" s="4">
        <v>0.45200000000000001</v>
      </c>
      <c r="G4" s="5">
        <v>470432</v>
      </c>
      <c r="H4" s="5">
        <v>11200.8</v>
      </c>
      <c r="I4" s="4">
        <v>0.874</v>
      </c>
      <c r="J4" s="4">
        <v>0.19</v>
      </c>
      <c r="K4" s="5">
        <v>2575489</v>
      </c>
      <c r="L4" s="5">
        <v>411175</v>
      </c>
      <c r="M4" s="5">
        <v>370397.5</v>
      </c>
      <c r="N4" s="5">
        <v>572809</v>
      </c>
      <c r="O4" s="4">
        <v>0.16</v>
      </c>
      <c r="P4" s="4">
        <v>1.1100000000000001</v>
      </c>
      <c r="Q4" s="4">
        <v>6.9530000000000003</v>
      </c>
    </row>
    <row r="7" spans="1:19" x14ac:dyDescent="0.3">
      <c r="A7" s="31" t="s">
        <v>58</v>
      </c>
      <c r="B7" s="31"/>
    </row>
    <row r="9" spans="1:19" x14ac:dyDescent="0.3">
      <c r="C9" s="25" t="s">
        <v>4</v>
      </c>
      <c r="D9" s="25" t="s">
        <v>5</v>
      </c>
      <c r="E9" s="25" t="s">
        <v>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12</v>
      </c>
      <c r="L9" s="25" t="s">
        <v>62</v>
      </c>
      <c r="M9" s="25" t="s">
        <v>13</v>
      </c>
      <c r="N9" s="25" t="s">
        <v>63</v>
      </c>
      <c r="O9" s="25" t="s">
        <v>14</v>
      </c>
      <c r="P9" s="25" t="s">
        <v>15</v>
      </c>
      <c r="Q9" s="25" t="s">
        <v>16</v>
      </c>
      <c r="R9" s="25" t="s">
        <v>17</v>
      </c>
      <c r="S9" s="25" t="s">
        <v>48</v>
      </c>
    </row>
    <row r="10" spans="1:19" x14ac:dyDescent="0.3">
      <c r="A10" s="31" t="str">
        <f>CONCATENATE("Current Season (as at", " ", TEXT(NOTES!F1, "dd"), " ", TEXT(NOTES!F1, "mmmm"), "):")</f>
        <v>Current Season (as at 12 September):</v>
      </c>
      <c r="B10" s="31"/>
      <c r="C10" s="26">
        <f>SUM(nz_grouping_summary_data_22_23[Races])</f>
        <v>202</v>
      </c>
      <c r="D10" s="26">
        <f>SUM(nz_grouping_summary_data_22_23[Starters])</f>
        <v>1986</v>
      </c>
      <c r="E10" s="27">
        <f>D10/C10</f>
        <v>9.8316831683168324</v>
      </c>
      <c r="F10" s="28">
        <f>(ROUND(F2*C2,0) + ROUND(F4*C4,0) + ROUND(F5*C5,0))/C10</f>
        <v>0.17821782178217821</v>
      </c>
      <c r="G10" s="29">
        <f>SUM(nz_grouping_summary_data_22_23[HRNZ Funded Stakes])</f>
        <v>2655380</v>
      </c>
      <c r="H10" s="29">
        <f>G10/C10</f>
        <v>13145.445544554455</v>
      </c>
      <c r="I10" s="28">
        <f>M10/G10</f>
        <v>1.2658380344809406</v>
      </c>
      <c r="J10" s="28">
        <f>(ROUND(J2*C2,0) + ROUND(J4*C4,0) + ROUND(J5*C5,0))/C10</f>
        <v>6.4356435643564358E-2</v>
      </c>
      <c r="K10" s="29">
        <f>SUM(nz_grouping_summary_data_22_23[Turnover])</f>
        <v>16031399</v>
      </c>
      <c r="L10" s="29">
        <f>K10/C10</f>
        <v>79363.361386138611</v>
      </c>
      <c r="M10" s="29">
        <f>SUM(nz_grouping_summary_data_22_23[GBR])</f>
        <v>3361281</v>
      </c>
      <c r="N10" s="29">
        <f>M10/C10</f>
        <v>16640.004950495051</v>
      </c>
      <c r="O10" s="29">
        <f>SUM(nz_grouping_summary_data_22_23[Funding])</f>
        <v>2083736.25</v>
      </c>
      <c r="P10" s="29">
        <f>SUM(nz_grouping_summary_data_22_23[Export TO (AUD)])</f>
        <v>3893605</v>
      </c>
      <c r="Q10" s="28">
        <f>M10/K10</f>
        <v>0.20966860097487436</v>
      </c>
      <c r="R10" s="28">
        <f>M10/O10</f>
        <v>1.6131029058979993</v>
      </c>
      <c r="S10" s="28">
        <f>K10/O10</f>
        <v>7.6935835809354467</v>
      </c>
    </row>
    <row r="11" spans="1:19" x14ac:dyDescent="0.3">
      <c r="A11" s="31" t="str">
        <f>CONCATENATE("Prior Season (as at", " ", TEXT(NOTES!F1, "dd"), " ", TEXT(NOTES!F1, "mmmm"), "):")</f>
        <v>Prior Season (as at 12 September):</v>
      </c>
      <c r="B11" s="31"/>
      <c r="C11" s="26" cm="1">
        <f t="array" ref="C11">prior_yr_cumulative_total[Races]</f>
        <v>204</v>
      </c>
      <c r="D11" s="26" cm="1">
        <f t="array" ref="D11">prior_yr_cumulative_total[Starters]</f>
        <v>1895</v>
      </c>
      <c r="E11" s="27" cm="1">
        <f t="array" ref="E11">prior_yr_cumulative_total[AFS]</f>
        <v>9.2899999999999991</v>
      </c>
      <c r="F11" s="28" cm="1">
        <f t="array" ref="F11">prior_yr_cumulative_total[num_fav_winners]/prior_yr_cumulative_total[Races]</f>
        <v>0.37254901960784315</v>
      </c>
      <c r="G11" s="29" cm="1">
        <f t="array" ref="G11">prior_yr_cumulative_total[hrnz_funded_stakes]</f>
        <v>2222760</v>
      </c>
      <c r="H11" s="29">
        <f>G11/C11</f>
        <v>10895.882352941177</v>
      </c>
      <c r="I11" s="28">
        <f>M11/G11</f>
        <v>1.3312786805593047</v>
      </c>
      <c r="J11" s="28" cm="1">
        <f t="array" ref="J11">prior_yr_cumulative_total[num_late_starts]/prior_yr_cumulative_total[Races]</f>
        <v>0.14705882352941177</v>
      </c>
      <c r="K11" s="29" cm="1">
        <f t="array" ref="K11">prior_yr_cumulative_total[turnover]</f>
        <v>15826232</v>
      </c>
      <c r="L11" s="29">
        <f>K11/C11</f>
        <v>77579.568627450979</v>
      </c>
      <c r="M11" s="29" cm="1">
        <f t="array" ref="M11">prior_yr_cumulative_total[GBR]</f>
        <v>2959113</v>
      </c>
      <c r="N11" s="29">
        <f>M11/C11</f>
        <v>14505.455882352941</v>
      </c>
      <c r="O11" s="29" t="str" cm="1">
        <f t="array" ref="O11">prior_yr_cumulative_total[total_funding]</f>
        <v>2827572</v>
      </c>
      <c r="P11" s="29" cm="1">
        <f t="array" ref="P11">prior_yr_cumulative_total[export_TO]</f>
        <v>7042562</v>
      </c>
      <c r="Q11" s="28">
        <f>M11/K11</f>
        <v>0.18697520673272072</v>
      </c>
      <c r="R11" s="28">
        <f>M11/O11</f>
        <v>1.0465208312997865</v>
      </c>
      <c r="S11" s="28">
        <f>K11/O11</f>
        <v>5.5971101708462241</v>
      </c>
    </row>
    <row r="12" spans="1:19" x14ac:dyDescent="0.3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8"/>
      <c r="N12" s="26"/>
      <c r="O12" s="26"/>
      <c r="P12" s="26"/>
      <c r="Q12" s="26"/>
      <c r="R12" s="26"/>
      <c r="S12" s="26"/>
    </row>
    <row r="13" spans="1:19" x14ac:dyDescent="0.3">
      <c r="A13" s="31" t="s">
        <v>68</v>
      </c>
      <c r="B13" s="31"/>
      <c r="C13" s="30">
        <f>(C10-C11)/C11</f>
        <v>-9.8039215686274508E-3</v>
      </c>
      <c r="D13" s="30">
        <f t="shared" ref="D13:H13" si="0">(D10-D11)/D11</f>
        <v>4.8021108179419528E-2</v>
      </c>
      <c r="E13" s="30">
        <f t="shared" si="0"/>
        <v>5.8308198957678505E-2</v>
      </c>
      <c r="F13" s="28">
        <f t="shared" ref="F13:J13" si="1">F10-F11</f>
        <v>-0.19433119782566494</v>
      </c>
      <c r="G13" s="28">
        <f t="shared" si="0"/>
        <v>0.19463189908042253</v>
      </c>
      <c r="H13" s="28">
        <f t="shared" si="0"/>
        <v>0.20645993768517917</v>
      </c>
      <c r="I13" s="28">
        <f t="shared" si="1"/>
        <v>-6.5440646078364084E-2</v>
      </c>
      <c r="J13" s="28">
        <f t="shared" si="1"/>
        <v>-8.2702387885847412E-2</v>
      </c>
      <c r="K13" s="28">
        <f t="shared" ref="K13:P13" si="2">(K10-K11)/K11</f>
        <v>1.2963730090649498E-2</v>
      </c>
      <c r="L13" s="28">
        <f t="shared" si="2"/>
        <v>2.2993073952933141E-2</v>
      </c>
      <c r="M13" s="28">
        <f t="shared" si="2"/>
        <v>0.1359082941408456</v>
      </c>
      <c r="N13" s="28">
        <f t="shared" si="2"/>
        <v>0.14715491091451749</v>
      </c>
      <c r="O13" s="28">
        <f t="shared" si="2"/>
        <v>-0.26306518454702482</v>
      </c>
      <c r="P13" s="28">
        <f t="shared" si="2"/>
        <v>-0.44713230781638841</v>
      </c>
      <c r="Q13" s="28">
        <f t="shared" ref="Q13" si="3">Q10-Q11</f>
        <v>2.2693394242153636E-2</v>
      </c>
      <c r="R13" s="28">
        <f>R10-R11</f>
        <v>0.56658207459821286</v>
      </c>
      <c r="S13" s="28">
        <f>S10-S11</f>
        <v>2.0964734100892226</v>
      </c>
    </row>
    <row r="14" spans="1:19" x14ac:dyDescent="0.3">
      <c r="C14" s="19"/>
      <c r="D14" s="19"/>
      <c r="E14" s="19"/>
    </row>
    <row r="17" spans="1:2" x14ac:dyDescent="0.3">
      <c r="A17" s="7" t="s">
        <v>64</v>
      </c>
      <c r="B17" s="3" t="s">
        <v>66</v>
      </c>
    </row>
    <row r="18" spans="1:2" x14ac:dyDescent="0.3">
      <c r="B18" s="3" t="s">
        <v>65</v>
      </c>
    </row>
    <row r="19" spans="1:2" x14ac:dyDescent="0.3">
      <c r="B19" s="3" t="s">
        <v>67</v>
      </c>
    </row>
  </sheetData>
  <mergeCells count="4">
    <mergeCell ref="A7:B7"/>
    <mergeCell ref="A10:B10"/>
    <mergeCell ref="A11:B11"/>
    <mergeCell ref="A13:B13"/>
  </mergeCells>
  <conditionalFormatting sqref="C13:S13">
    <cfRule type="cellIs" dxfId="41" priority="1" operator="lessThan">
      <formula>0</formula>
    </cfRule>
    <cfRule type="cellIs" dxfId="40" priority="2" operator="greaterThan">
      <formula>0</formula>
    </cfRule>
  </conditionalFormatting>
  <pageMargins left="0.7" right="0.7" top="0.75" bottom="0.75" header="0.3" footer="0.3"/>
  <ignoredErrors>
    <ignoredError sqref="F13" formula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2EAD-9DFA-48DA-AC41-B18F3FCA787D}">
  <sheetPr codeName="Sheet5"/>
  <dimension ref="A1:L2"/>
  <sheetViews>
    <sheetView workbookViewId="0">
      <selection activeCell="G18" sqref="G18"/>
    </sheetView>
  </sheetViews>
  <sheetFormatPr defaultRowHeight="14.4" x14ac:dyDescent="0.3"/>
  <cols>
    <col min="1" max="1" width="15.109375" bestFit="1" customWidth="1"/>
    <col min="2" max="2" width="8" bestFit="1" customWidth="1"/>
    <col min="3" max="3" width="9.6640625" bestFit="1" customWidth="1"/>
    <col min="4" max="4" width="6.33203125" bestFit="1" customWidth="1"/>
    <col min="5" max="5" width="18.44140625" bestFit="1" customWidth="1"/>
    <col min="6" max="6" width="20.44140625" bestFit="1" customWidth="1"/>
    <col min="7" max="7" width="13.33203125" bestFit="1" customWidth="1"/>
    <col min="8" max="8" width="14.6640625" bestFit="1" customWidth="1"/>
    <col min="9" max="9" width="10.5546875" bestFit="1" customWidth="1"/>
    <col min="10" max="10" width="8" bestFit="1" customWidth="1"/>
    <col min="11" max="11" width="12" bestFit="1" customWidth="1"/>
    <col min="12" max="13" width="16.88671875" bestFit="1" customWidth="1"/>
  </cols>
  <sheetData>
    <row r="1" spans="1:12" x14ac:dyDescent="0.3">
      <c r="A1" t="s">
        <v>50</v>
      </c>
      <c r="B1" t="s">
        <v>4</v>
      </c>
      <c r="C1" t="s">
        <v>5</v>
      </c>
      <c r="D1" t="s">
        <v>51</v>
      </c>
      <c r="E1" t="s">
        <v>52</v>
      </c>
      <c r="F1" t="s">
        <v>53</v>
      </c>
      <c r="G1" t="s">
        <v>54</v>
      </c>
      <c r="H1" t="s">
        <v>61</v>
      </c>
      <c r="I1" t="s">
        <v>55</v>
      </c>
      <c r="J1" t="s">
        <v>13</v>
      </c>
      <c r="K1" t="s">
        <v>56</v>
      </c>
      <c r="L1" t="s">
        <v>57</v>
      </c>
    </row>
    <row r="2" spans="1:12" x14ac:dyDescent="0.3">
      <c r="A2" t="s">
        <v>74</v>
      </c>
      <c r="B2">
        <v>204</v>
      </c>
      <c r="C2">
        <v>1895</v>
      </c>
      <c r="D2">
        <v>9.2899999999999991</v>
      </c>
      <c r="E2">
        <v>76</v>
      </c>
      <c r="F2">
        <v>2222760</v>
      </c>
      <c r="G2">
        <v>2230385</v>
      </c>
      <c r="H2" t="s">
        <v>84</v>
      </c>
      <c r="I2">
        <v>15826232</v>
      </c>
      <c r="J2">
        <v>2959113</v>
      </c>
      <c r="K2">
        <v>7042562</v>
      </c>
      <c r="L2">
        <v>30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AB40CCC9D9747AD7D9AED38AD09EB" ma:contentTypeVersion="17" ma:contentTypeDescription="Create a new document." ma:contentTypeScope="" ma:versionID="daae06d44df8502efe6bf7d7b9ecc054">
  <xsd:schema xmlns:xsd="http://www.w3.org/2001/XMLSchema" xmlns:xs="http://www.w3.org/2001/XMLSchema" xmlns:p="http://schemas.microsoft.com/office/2006/metadata/properties" xmlns:ns2="2920cc6e-6f47-46b2-b90b-a34d4cc28340" xmlns:ns3="287d39be-265c-41d3-9c85-5908a119e800" targetNamespace="http://schemas.microsoft.com/office/2006/metadata/properties" ma:root="true" ma:fieldsID="59470f1350df3ba61d2e70bdf9a6e0b8" ns2:_="" ns3:_="">
    <xsd:import namespace="2920cc6e-6f47-46b2-b90b-a34d4cc28340"/>
    <xsd:import namespace="287d39be-265c-41d3-9c85-5908a119e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0cc6e-6f47-46b2-b90b-a34d4cc28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d70803-70ac-4559-80e1-34939c076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d39be-265c-41d3-9c85-5908a119e8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b3f98a-5af1-4339-9a2f-8ff39ea3c6c0}" ma:internalName="TaxCatchAll" ma:showField="CatchAllData" ma:web="287d39be-265c-41d3-9c85-5908a119e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7d39be-265c-41d3-9c85-5908a119e800" xsi:nil="true"/>
    <lcf76f155ced4ddcb4097134ff3c332f xmlns="2920cc6e-6f47-46b2-b90b-a34d4cc28340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9D0D7466-48DE-4100-9804-4F22926A19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EA98EC-E608-44ED-8AAC-D8027C970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0cc6e-6f47-46b2-b90b-a34d4cc28340"/>
    <ds:schemaRef ds:uri="287d39be-265c-41d3-9c85-5908a119e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67695E-4DC1-4356-A73D-3ACA880082D2}">
  <ds:schemaRefs>
    <ds:schemaRef ds:uri="http://schemas.microsoft.com/office/2006/metadata/properties"/>
    <ds:schemaRef ds:uri="http://schemas.microsoft.com/office/infopath/2007/PartnerControls"/>
    <ds:schemaRef ds:uri="287d39be-265c-41d3-9c85-5908a119e800"/>
    <ds:schemaRef ds:uri="2920cc6e-6f47-46b2-b90b-a34d4cc28340"/>
  </ds:schemaRefs>
</ds:datastoreItem>
</file>

<file path=customXml/itemProps4.xml><?xml version="1.0" encoding="utf-8"?>
<ds:datastoreItem xmlns:ds="http://schemas.openxmlformats.org/officeDocument/2006/customXml" ds:itemID="{D6554A8B-92F1-4957-9672-7628BE502E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NOTES</vt:lpstr>
      <vt:lpstr>Raceday Breakdown</vt:lpstr>
      <vt:lpstr>Club Breakdown</vt:lpstr>
      <vt:lpstr>NZ Grouping Breakdown</vt:lpstr>
      <vt:lpstr>prior_yr_cumulative_total</vt:lpstr>
      <vt:lpstr>'Club Breakdown'!Print_Area</vt:lpstr>
      <vt:lpstr>'Raceday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Partridge</dc:creator>
  <cp:lastModifiedBy>Ollie Partridge</cp:lastModifiedBy>
  <cp:lastPrinted>2023-02-22T18:23:47Z</cp:lastPrinted>
  <dcterms:created xsi:type="dcterms:W3CDTF">2022-09-15T04:29:49Z</dcterms:created>
  <dcterms:modified xsi:type="dcterms:W3CDTF">2023-09-11T20:38:24Z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0x0101008C6AB40CCC9D9747AD7D9AED38AD09EB</vt:lpwstr>
  </property>
  <property fmtid="{D5CDD505-2E9C-101B-9397-08002B2CF9AE}" pid="3" name="MediaServiceImageTags">
    <vt:lpwstr/>
  </property>
</Properties>
</file>