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1316" documentId="8_{AAD5AAB2-47E2-437E-81A2-472403DF00FE}" xr6:coauthVersionLast="47" xr6:coauthVersionMax="47" xr10:uidLastSave="{3276EED2-667A-464D-B9FE-D606272564DB}"/>
  <bookViews>
    <workbookView xWindow="-120" yWindow="-16320" windowWidth="29040" windowHeight="15840" tabRatio="762" activeTab="1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prior_yr_cumulative_total" sheetId="9" state="hidden" r:id="rId5"/>
  </sheets>
  <definedNames>
    <definedName name="ExternalData_1" localSheetId="2" hidden="1">'Club Breakdown'!$A$1:$Q$3</definedName>
    <definedName name="ExternalData_1" localSheetId="3" hidden="1">'NZ Grouping Breakdown'!$A$1:$Q$3</definedName>
    <definedName name="ExternalData_1" localSheetId="4" hidden="1">prior_yr_cumulative_total!$A$1:$L$2</definedName>
    <definedName name="ExternalData_1" localSheetId="1" hidden="1">'Raceday Breakdown'!$A$1:$V$4</definedName>
    <definedName name="_xlnm.Print_Area" localSheetId="2">club_summary_data_22_23[#All]</definedName>
    <definedName name="_xlnm.Print_Area" localSheetId="1">raceday_22_23[[#All],[Raceday Date]:[Last Year Turnover]]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" i="7" l="1"/>
  <c r="W3" i="7"/>
  <c r="W4" i="7"/>
  <c r="R3" i="2" l="1"/>
  <c r="R2" i="2"/>
  <c r="O10" i="5" l="1" a="1"/>
  <c r="O10" i="5" s="1"/>
  <c r="J10" i="5" a="1"/>
  <c r="J10" i="5" s="1"/>
  <c r="P10" i="5" a="1"/>
  <c r="P10" i="5" s="1"/>
  <c r="M10" i="5" a="1"/>
  <c r="M10" i="5" s="1"/>
  <c r="K10" i="5" a="1"/>
  <c r="K10" i="5" s="1"/>
  <c r="G10" i="5" a="1"/>
  <c r="G10" i="5" s="1"/>
  <c r="F10" i="5" a="1"/>
  <c r="F10" i="5" s="1"/>
  <c r="E10" i="5" a="1"/>
  <c r="E10" i="5" s="1"/>
  <c r="D10" i="5" a="1"/>
  <c r="D10" i="5" s="1"/>
  <c r="C10" i="5" a="1"/>
  <c r="C10" i="5" s="1"/>
  <c r="A10" i="5"/>
  <c r="A9" i="5"/>
  <c r="L10" i="5" l="1"/>
  <c r="Q10" i="5"/>
  <c r="N10" i="5"/>
  <c r="H10" i="5"/>
  <c r="S10" i="5"/>
  <c r="R10" i="5"/>
  <c r="I10" i="5"/>
  <c r="C9" i="5"/>
  <c r="D9" i="5"/>
  <c r="D12" i="5" s="1"/>
  <c r="G9" i="5"/>
  <c r="G12" i="5" s="1"/>
  <c r="K9" i="5"/>
  <c r="K12" i="5" s="1"/>
  <c r="M9" i="5"/>
  <c r="M12" i="5" s="1"/>
  <c r="O9" i="5"/>
  <c r="O12" i="5" s="1"/>
  <c r="P9" i="5"/>
  <c r="P12" i="5" s="1"/>
  <c r="C12" i="5" l="1"/>
  <c r="J9" i="5"/>
  <c r="J12" i="5" s="1"/>
  <c r="F9" i="5"/>
  <c r="F12" i="5" s="1"/>
  <c r="N9" i="5"/>
  <c r="N12" i="5" s="1"/>
  <c r="L9" i="5"/>
  <c r="L12" i="5" s="1"/>
  <c r="S9" i="5"/>
  <c r="S12" i="5" s="1"/>
  <c r="H9" i="5"/>
  <c r="H12" i="5" s="1"/>
  <c r="Q9" i="5"/>
  <c r="Q12" i="5" s="1"/>
  <c r="E9" i="5"/>
  <c r="E12" i="5" s="1"/>
  <c r="R9" i="5"/>
  <c r="R12" i="5" s="1"/>
  <c r="I9" i="5"/>
  <c r="I12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6452C-26AB-4DBE-A0E6-43C43766641E}" keepAlive="1" name="Query - club_summary_data_22_23" description="Connection to the 'club_summary_data_22_23' query in the workbook." type="5" refreshedVersion="8" background="1" saveData="1">
    <dbPr connection="Provider=Microsoft.Mashup.OleDb.1;Data Source=$Workbook$;Location=club_summary_data_22_23;Extended Properties=&quot;&quot;" command="SELECT * FROM [club_summary_data_22_23]"/>
  </connection>
  <connection id="2" xr16:uid="{9F8FB5CE-67C8-4921-A5AA-702038BA480F}" keepAlive="1" name="Query - nz_grouping_summary_data_22_23" description="Connection to the 'nz_grouping_summary_data_22_23' query in the workbook." type="5" refreshedVersion="8" background="1" saveData="1">
    <dbPr connection="Provider=Microsoft.Mashup.OleDb.1;Data Source=$Workbook$;Location=nz_grouping_summary_data_22_23;Extended Properties=&quot;&quot;" command="SELECT * FROM [nz_grouping_summary_data_22_23]"/>
  </connection>
  <connection id="3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4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<sst xmlns="http://schemas.openxmlformats.org/spreadsheetml/2006/main" count="135" uniqueCount="76">
  <si>
    <t>Auckland Trotting Club Inc</t>
  </si>
  <si>
    <t>NZ Metropolitan Trotting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</si>
  <si>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</si>
  <si>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</si>
  <si>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</si>
  <si>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</si>
  <si>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</si>
  <si>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</si>
  <si>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</si>
  <si>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</si>
  <si>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</si>
  <si>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</si>
  <si>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</si>
  <si>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</si>
  <si>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</si>
  <si>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</si>
  <si>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</si>
  <si>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</si>
  <si>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</si>
  <si>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Wagering data is sourced from the TAB</t>
  </si>
  <si>
    <t>Columns:</t>
  </si>
  <si>
    <t>HRNZ Funded Stakes:</t>
  </si>
  <si>
    <t>HRNZ's contribution to the stakes only (excludes any non-HRNZ funding)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</si>
  <si>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</si>
  <si>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</si>
  <si>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</si>
  <si>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</si>
  <si>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</si>
  <si>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Raceday Date</t>
  </si>
  <si>
    <t>Day</t>
  </si>
  <si>
    <t>Club</t>
  </si>
  <si>
    <t>Thursday</t>
  </si>
  <si>
    <t>Friday</t>
  </si>
  <si>
    <t>Sunday</t>
  </si>
  <si>
    <t>This is usually available within 1-2 weeks of any raceday being completed</t>
  </si>
  <si>
    <t xml:space="preserve">Where Funding is $0, this is because the latest funding has not been entered into the database (this will cause the GBR/Funding% to be 0% too) </t>
  </si>
  <si>
    <t>This has been built in at a Raceday level and is comprised of: total_race_funding, venue_funding, and other_funding (group race funding is included in the total_race_funding</t>
  </si>
  <si>
    <t>Funding:</t>
  </si>
  <si>
    <t>Late Start %:</t>
  </si>
  <si>
    <t>Last Year Turnover</t>
  </si>
  <si>
    <t>Last Year GBR</t>
  </si>
  <si>
    <t>Last Year GBR/TO%</t>
  </si>
  <si>
    <t>Last Year Info:</t>
  </si>
  <si>
    <t>GBR/TO% Diff to Last Year</t>
  </si>
  <si>
    <t>Export Turnover (AUD):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</si>
  <si>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associated last year raceday ID to match the current year's raceday to</t>
    </r>
  </si>
  <si>
    <t>Last Updated:</t>
  </si>
  <si>
    <t>(generally updated every Tuesday)</t>
  </si>
  <si>
    <t>Turnover/Funding%</t>
  </si>
  <si>
    <t>This column was added 23/2/2023 so that HRNZ can track Turnover as a percentage of Funding moving forward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</si>
  <si>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</si>
  <si>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</si>
  <si>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</si>
  <si>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</si>
  <si>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</si>
  <si>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</si>
  <si>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</si>
  <si>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</si>
  <si>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Nationwide Cumulative Totals:</t>
  </si>
  <si>
    <t>Cumulative Totals (to date):</t>
  </si>
  <si>
    <t>These can be found on the 'NZ Grouping Breakdown' tab. This will be as at the date given in cell F1 on this tab (NOTES tab)</t>
  </si>
  <si>
    <t>total_funding</t>
  </si>
  <si>
    <t>TO per Race</t>
  </si>
  <si>
    <t>GBR per Race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</si>
  <si>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</si>
  <si>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</si>
  <si>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</si>
  <si>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</si>
  <si>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</si>
  <si>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Turnover/Funding %:</t>
  </si>
  <si>
    <t>Turnover Per Race</t>
  </si>
  <si>
    <t>All data is coming directly from the HRNZ Database</t>
  </si>
  <si>
    <t>2023/2024</t>
  </si>
  <si>
    <t xml:space="preserve">Data is for the current 2023/24 Racing Season </t>
  </si>
  <si>
    <t>2022/2023</t>
  </si>
  <si>
    <t>362768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</si>
</sst>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0.0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93"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E3A9FDF-D3CD-4EFB-8708-651D1B20DB09}" autoFormatId="16" applyNumberFormats="0" applyBorderFormats="0" applyFontFormats="0" applyPatternFormats="0" applyAlignmentFormats="0" applyWidthHeightFormats="0">
  <queryTableRefresh nextId="26" unboundColumnsRight="1">
    <queryTableFields count="23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B265BF-1E52-4250-925B-4EF957FEFBAB}" autoFormatId="16" applyNumberFormats="0" applyBorderFormats="0" applyFontFormats="0" applyPatternFormats="0" applyAlignmentFormats="0" applyWidthHeightFormats="0">
  <queryTableRefresh nextId="37" unboundColumnsRight="1">
    <queryTableFields count="18">
      <queryTableField id="16" name="Racing Season" tableColumnId="16"/>
      <queryTableField id="17" name="Club Name" tableColumnId="17"/>
      <queryTableField id="18" name="Races" tableColumnId="18"/>
      <queryTableField id="19" name="Starters" tableColumnId="19"/>
      <queryTableField id="20" name="Ave. FS" tableColumnId="20"/>
      <queryTableField id="21" name="Fav. Win %" tableColumnId="21"/>
      <queryTableField id="22" name="HRNZ Funded Stakes" tableColumnId="22"/>
      <queryTableField id="23" name="Ave. Race Stake" tableColumnId="23"/>
      <queryTableField id="24" name="GBR/Stake%" tableColumnId="24"/>
      <queryTableField id="25" name="Late Start %" tableColumnId="25"/>
      <queryTableField id="26" name="Turnover" tableColumnId="26"/>
      <queryTableField id="27" name="GBR" tableColumnId="27"/>
      <queryTableField id="28" name="Funding" tableColumnId="28"/>
      <queryTableField id="29" name="Export TO (AUD)" tableColumnId="29"/>
      <queryTableField id="30" name="GBR/TO%" tableColumnId="30"/>
      <queryTableField id="34" name="GBR/Funding%" tableColumnId="34"/>
      <queryTableField id="35" name="Turnover/Funding%" tableColumnId="1"/>
      <queryTableField id="36" dataBound="0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18B2416-B3B6-46AF-B43F-FAE22FD9C9DE}" autoFormatId="16" applyNumberFormats="0" applyBorderFormats="0" applyFontFormats="0" applyPatternFormats="0" applyAlignmentFormats="0" applyWidthHeightFormats="0">
  <queryTableRefresh nextId="18">
    <queryTableFields count="17">
      <queryTableField id="1" name="Racing Season" tableColumnId="1"/>
      <queryTableField id="2" name="NZ Grouping" tableColumnId="2"/>
      <queryTableField id="3" name="Races" tableColumnId="3"/>
      <queryTableField id="4" name="Starters" tableColumnId="4"/>
      <queryTableField id="5" name="Ave. FS" tableColumnId="5"/>
      <queryTableField id="6" name="Fav. Win %" tableColumnId="6"/>
      <queryTableField id="7" name="HRNZ Funded Stakes" tableColumnId="7"/>
      <queryTableField id="8" name="Ave. Race Stake" tableColumnId="8"/>
      <queryTableField id="9" name="GBR/Stake%" tableColumnId="9"/>
      <queryTableField id="10" name="Late Start %" tableColumnId="10"/>
      <queryTableField id="11" name="Turnover" tableColumnId="11"/>
      <queryTableField id="12" name="GBR" tableColumnId="12"/>
      <queryTableField id="13" name="Funding" tableColumnId="13"/>
      <queryTableField id="14" name="Export TO (AUD)" tableColumnId="14"/>
      <queryTableField id="15" name="GBR/TO%" tableColumnId="15"/>
      <queryTableField id="16" name="GBR/Funding%" tableColumnId="16"/>
      <queryTableField id="17" name="Turnover/Funding%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94299C-9762-456F-A7CA-3D0EBBF51B70}" autoFormatId="16" applyNumberFormats="0" applyBorderFormats="0" applyFontFormats="0" applyPatternFormats="0" applyAlignmentFormats="0" applyWidthHeightFormats="0">
  <queryTableRefresh nextId="15">
    <queryTableFields count="12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W4" tableType="queryTable" totalsRowShown="0" headerRowDxfId="92" dataDxfId="91">
  <autoFilter ref="A1:W4" xr:uid="{8ECB3143-AA95-4BFF-A156-EF7EBE26DCDE}"/>
  <sortState xmlns:xlrd2="http://schemas.microsoft.com/office/spreadsheetml/2017/richdata2" ref="A2:W4">
    <sortCondition ref="A1:A4"/>
  </sortState>
  <tableColumns count="23">
    <tableColumn id="1" xr3:uid="{5F1515AB-D4C6-450E-90C6-8D42083D358F}" uniqueName="1" name="Raceday Date" queryTableFieldId="1" dataDxfId="57" totalsRowDxfId="90"/>
    <tableColumn id="3" xr3:uid="{4D22E4DB-A2CB-484E-98AB-D3196AA8DCBA}" uniqueName="3" name="Day" queryTableFieldId="3" dataDxfId="56" totalsRowDxfId="89"/>
    <tableColumn id="4" xr3:uid="{079CAB0E-B157-4580-890F-A2E8A321D4DA}" uniqueName="4" name="Club" queryTableFieldId="4" dataDxfId="55" totalsRowDxfId="88"/>
    <tableColumn id="5" xr3:uid="{B6974082-46C7-4DB4-9C07-8ACA1D9582CC}" uniqueName="5" name="NZ Grouping" queryTableFieldId="5" dataDxfId="54" totalsRowDxfId="87"/>
    <tableColumn id="6" xr3:uid="{F501D4AB-49F6-42D0-A6C3-C366D3CD9C9F}" uniqueName="6" name="Races" queryTableFieldId="6" dataDxfId="53" totalsRowDxfId="86"/>
    <tableColumn id="7" xr3:uid="{6472B750-CAFA-4659-954E-0D7CDFEDAF8D}" uniqueName="7" name="Starters" queryTableFieldId="7" dataDxfId="52" totalsRowDxfId="85"/>
    <tableColumn id="8" xr3:uid="{A6F068C6-B31A-48FB-9A7F-3EBC74560F00}" uniqueName="8" name="Ave. FS" queryTableFieldId="8" dataDxfId="51" totalsRowDxfId="84"/>
    <tableColumn id="9" xr3:uid="{735FC37F-C20A-4FF8-9D0B-6409E6E960D6}" uniqueName="9" name="Fav. Win %" queryTableFieldId="9" dataDxfId="50" totalsRowDxfId="83" dataCellStyle="Percent" totalsRowCellStyle="Percent"/>
    <tableColumn id="10" xr3:uid="{BE932EB9-8F1A-4DC5-89BC-A34CE04F0B45}" uniqueName="10" name="HRNZ Funded Stakes" queryTableFieldId="10" dataDxfId="49" totalsRowDxfId="82"/>
    <tableColumn id="11" xr3:uid="{24F34BAF-F3E6-4280-9E85-DA9003991599}" uniqueName="11" name="Ave. Race Stake" queryTableFieldId="11" dataDxfId="48" totalsRowDxfId="81"/>
    <tableColumn id="12" xr3:uid="{4FF8BBC7-2C19-495B-93D5-55EF6A3CB032}" uniqueName="12" name="GBR/Stake%" queryTableFieldId="12" dataDxfId="47" totalsRowDxfId="80" dataCellStyle="Percent" totalsRowCellStyle="Percent"/>
    <tableColumn id="13" xr3:uid="{87F3198B-2F6F-4F7D-9D8E-31A1C217F570}" uniqueName="13" name="Late Start %" queryTableFieldId="13" dataDxfId="46" totalsRowDxfId="79" dataCellStyle="Percent" totalsRowCellStyle="Percent"/>
    <tableColumn id="14" xr3:uid="{C0E71842-6635-4508-9F04-54B6F1B1D614}" uniqueName="14" name="Turnover" queryTableFieldId="14" dataDxfId="45" totalsRowDxfId="78"/>
    <tableColumn id="15" xr3:uid="{67CBE4C1-72CF-4D04-AA51-749ABCF6DBBB}" uniqueName="15" name="GBR" queryTableFieldId="15" dataDxfId="44" totalsRowDxfId="77"/>
    <tableColumn id="16" xr3:uid="{C0F3665E-80A4-4CD0-AD3C-68AFEF1C07C8}" uniqueName="16" name="Funding" queryTableFieldId="16" dataDxfId="43" totalsRowDxfId="76"/>
    <tableColumn id="17" xr3:uid="{7E12EA9A-8485-4A14-AC19-9DDB6A1FC20D}" uniqueName="17" name="Export TO (AUD)" queryTableFieldId="17" dataDxfId="42" totalsRowDxfId="75"/>
    <tableColumn id="18" xr3:uid="{2BDB94B1-5401-4216-9472-367432BC6611}" uniqueName="18" name="GBR/TO%" queryTableFieldId="18" dataDxfId="41" totalsRowDxfId="74" dataCellStyle="Percent" totalsRowCellStyle="Percent"/>
    <tableColumn id="19" xr3:uid="{5BEEB3EB-B922-4CCA-BD52-0736011E32F3}" uniqueName="19" name="GBR/Funding%" queryTableFieldId="19" dataDxfId="40" totalsRowDxfId="73" dataCellStyle="Percent" totalsRowCellStyle="Percent"/>
    <tableColumn id="23" xr3:uid="{0E33540D-E2E1-47EA-AAA0-BA460E179A4C}" uniqueName="23" name="Turnover/Funding%" queryTableFieldId="24" dataDxfId="39" totalsRowDxfId="72" dataCellStyle="Percent" totalsRowCellStyle="Percent"/>
    <tableColumn id="2" xr3:uid="{26910BD9-293C-4827-8EB5-00479587934B}" uniqueName="2" name="Last Year Turnover" queryTableFieldId="20" dataDxfId="38" totalsRowDxfId="71" dataCellStyle="Percent" totalsRowCellStyle="Percent"/>
    <tableColumn id="20" xr3:uid="{29C94857-9797-44C0-9D19-5F8B497852F4}" uniqueName="20" name="Last Year GBR" queryTableFieldId="21" dataDxfId="37" totalsRowDxfId="70" dataCellStyle="Percent" totalsRowCellStyle="Percent"/>
    <tableColumn id="21" xr3:uid="{5DED8152-DE09-400A-827D-564EF2FCBA86}" uniqueName="21" name="Last Year GBR/TO%" queryTableFieldId="22" dataDxfId="36" totalsRowDxfId="69" dataCellStyle="Percent" totalsRowCellStyle="Percent"/>
    <tableColumn id="22" xr3:uid="{DEB2B479-B38A-4793-9AAC-A801C48A3C62}" uniqueName="22" name="GBR/TO% Diff to Last Year" queryTableFieldId="23" dataDxfId="35" totalsRowDxfId="68">
      <calculatedColumnFormula>IF(raceday_22_23[[#This Row],[Last Year Turnover]]&lt;&gt;0, raceday_22_23[[#This Row],[GBR/TO%]]-raceday_22_23[[#This Row],[Last Year GBR/TO%]],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R3" tableType="queryTable" totalsRowShown="0" headerRowDxfId="67" dataDxfId="66">
  <autoFilter ref="A1:R3" xr:uid="{5FA43247-39D7-4B2A-AFC9-F68C37923AD2}"/>
  <sortState xmlns:xlrd2="http://schemas.microsoft.com/office/spreadsheetml/2017/richdata2" ref="A2:R3">
    <sortCondition descending="1" ref="R1:R3"/>
  </sortState>
  <tableColumns count="18">
    <tableColumn id="16" xr3:uid="{84FA02A7-59C6-4C88-B547-678AE6036BBE}" uniqueName="16" name="Racing Season" queryTableFieldId="16" dataDxfId="34"/>
    <tableColumn id="17" xr3:uid="{14D4F993-D007-4167-9D93-6CCCD6C99B67}" uniqueName="17" name="Club Name" queryTableFieldId="17" dataDxfId="33"/>
    <tableColumn id="18" xr3:uid="{40426622-692C-4EFC-B1A9-5CA2789AA835}" uniqueName="18" name="Races" queryTableFieldId="18" dataDxfId="32"/>
    <tableColumn id="19" xr3:uid="{CA79EC68-0190-45F3-814E-B728589F53C1}" uniqueName="19" name="Starters" queryTableFieldId="19" dataDxfId="31"/>
    <tableColumn id="20" xr3:uid="{C3462C5D-26B9-41C0-96EF-4267929F5E28}" uniqueName="20" name="Ave. FS" queryTableFieldId="20" dataDxfId="30"/>
    <tableColumn id="21" xr3:uid="{DD4596B2-0A52-4ADB-8146-825AD8D65525}" uniqueName="21" name="Fav. Win %" queryTableFieldId="21" dataDxfId="29" dataCellStyle="Percent"/>
    <tableColumn id="22" xr3:uid="{E882B0C9-AEA8-48CA-88FA-6A9B29C443EE}" uniqueName="22" name="HRNZ Funded Stakes" queryTableFieldId="22" dataDxfId="28"/>
    <tableColumn id="23" xr3:uid="{19B196F6-92F6-4839-9AF4-CB7E270C3B70}" uniqueName="23" name="Ave. Race Stake" queryTableFieldId="23" dataDxfId="27"/>
    <tableColumn id="24" xr3:uid="{6449B595-8CA5-4EE1-9AFA-826DB3503C58}" uniqueName="24" name="GBR/Stake%" queryTableFieldId="24" dataDxfId="26" dataCellStyle="Percent"/>
    <tableColumn id="25" xr3:uid="{5BCD5CB0-4520-49BC-9A63-77134EDD010C}" uniqueName="25" name="Late Start %" queryTableFieldId="25" dataDxfId="25" dataCellStyle="Percent"/>
    <tableColumn id="26" xr3:uid="{C0D6702E-606E-4489-95ED-A0C8A3413E36}" uniqueName="26" name="Turnover" queryTableFieldId="26" dataDxfId="24"/>
    <tableColumn id="27" xr3:uid="{A16AEFC2-E30F-43BB-9909-4AB8EA92E16B}" uniqueName="27" name="GBR" queryTableFieldId="27" dataDxfId="23"/>
    <tableColumn id="28" xr3:uid="{220F42A6-6454-4028-A5E3-18E3F7FD3571}" uniqueName="28" name="Funding" queryTableFieldId="28" dataDxfId="22"/>
    <tableColumn id="29" xr3:uid="{8CF6C49B-14B6-437D-972D-4A9A96E1B412}" uniqueName="29" name="Export TO (AUD)" queryTableFieldId="29" dataDxfId="21"/>
    <tableColumn id="30" xr3:uid="{85517A98-FA21-4C97-AA00-8BB10FFBC4D7}" uniqueName="30" name="GBR/TO%" queryTableFieldId="30" dataDxfId="20" dataCellStyle="Percent"/>
    <tableColumn id="34" xr3:uid="{CD094789-0844-4E1A-AD7F-807292039065}" uniqueName="34" name="GBR/Funding%" queryTableFieldId="34" dataDxfId="19" dataCellStyle="Percent"/>
    <tableColumn id="1" xr3:uid="{41B14C3D-115F-4977-AD46-20557DD4EE0C}" uniqueName="1" name="Turnover/Funding%" queryTableFieldId="35" dataDxfId="18" dataCellStyle="Percent"/>
    <tableColumn id="2" xr3:uid="{FFE7CB62-0CEE-462C-A38E-12773090A482}" uniqueName="2" name="Turnover Per Race" queryTableFieldId="36" dataDxfId="1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Q3" tableType="queryTable" totalsRowShown="0" headerRowDxfId="65" dataDxfId="64">
  <autoFilter ref="A1:Q3" xr:uid="{B67CE2EB-6461-438D-9D90-04FAB5E0E998}"/>
  <tableColumns count="17">
    <tableColumn id="1" xr3:uid="{8718D5F7-D725-4B51-B267-76F523470822}" uniqueName="1" name="Racing Season" queryTableFieldId="1" dataDxfId="16"/>
    <tableColumn id="2" xr3:uid="{7029A6C6-E60D-4D9F-B672-8A860CB1740B}" uniqueName="2" name="NZ Grouping" queryTableFieldId="2" dataDxfId="15"/>
    <tableColumn id="3" xr3:uid="{15510ACF-2CF3-4C13-BB1F-41CC7D335294}" uniqueName="3" name="Races" queryTableFieldId="3" dataDxfId="14"/>
    <tableColumn id="4" xr3:uid="{EDC5D6B2-9FA4-4BFC-912F-FC9FC4A2A0F5}" uniqueName="4" name="Starters" queryTableFieldId="4" dataDxfId="13"/>
    <tableColumn id="5" xr3:uid="{F8648A72-18A9-4F14-A462-67A4A3EC4763}" uniqueName="5" name="Ave. FS" queryTableFieldId="5" dataDxfId="12"/>
    <tableColumn id="6" xr3:uid="{F81FD6FE-3524-4C71-9AC5-9F8989374B41}" uniqueName="6" name="Fav. Win %" queryTableFieldId="6" dataDxfId="11" dataCellStyle="Percent"/>
    <tableColumn id="7" xr3:uid="{4812BBA7-D766-4EDA-AB9C-BD9D50E0100A}" uniqueName="7" name="HRNZ Funded Stakes" queryTableFieldId="7" dataDxfId="10"/>
    <tableColumn id="8" xr3:uid="{A84D9353-EA09-4CC9-8B86-0A73E7DB1240}" uniqueName="8" name="Ave. Race Stake" queryTableFieldId="8" dataDxfId="9"/>
    <tableColumn id="9" xr3:uid="{6C64D457-FA91-4C77-9875-87C48A0EA4DB}" uniqueName="9" name="GBR/Stake%" queryTableFieldId="9" dataDxfId="8" dataCellStyle="Percent"/>
    <tableColumn id="10" xr3:uid="{DFC55964-49E9-47D9-83B1-86D3EB378275}" uniqueName="10" name="Late Start %" queryTableFieldId="10" dataDxfId="7" dataCellStyle="Percent"/>
    <tableColumn id="11" xr3:uid="{18ED67E1-5EE2-4E0A-9141-0E84A94063D1}" uniqueName="11" name="Turnover" queryTableFieldId="11" dataDxfId="6"/>
    <tableColumn id="12" xr3:uid="{A56FB405-DF41-4EDB-AF86-18A961C0892E}" uniqueName="12" name="GBR" queryTableFieldId="12" dataDxfId="5"/>
    <tableColumn id="13" xr3:uid="{4FE2D30E-C7BB-453C-9BA1-B84B2E024505}" uniqueName="13" name="Funding" queryTableFieldId="13" dataDxfId="4"/>
    <tableColumn id="14" xr3:uid="{811018E5-7709-472D-B960-BB8A3CCD0E5E}" uniqueName="14" name="Export TO (AUD)" queryTableFieldId="14" dataDxfId="3"/>
    <tableColumn id="15" xr3:uid="{2E83DE80-75C7-4613-A6F8-FAE017EECD72}" uniqueName="15" name="GBR/TO%" queryTableFieldId="15" dataDxfId="2" dataCellStyle="Percent"/>
    <tableColumn id="16" xr3:uid="{A28B3E6E-A10F-4C2D-853D-165487E6B110}" uniqueName="16" name="GBR/Funding%" queryTableFieldId="16" dataDxfId="1" dataCellStyle="Percent"/>
    <tableColumn id="17" xr3:uid="{877123AB-DF10-46A4-9E3C-D2F490C0A5E8}" uniqueName="17" name="Turnover/Funding%" queryTableFieldId="17" dataDxfId="0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L2" tableType="queryTable" totalsRowShown="0">
  <autoFilter ref="A1:L2" xr:uid="{F675410A-C968-4FBA-A6D1-841FBE7DD530}"/>
  <tableColumns count="12">
    <tableColumn id="2" xr3:uid="{76DA60AF-B68C-47B9-AB91-E842D39AA0BD}" uniqueName="2" name="racing_season" queryTableFieldId="2" dataDxfId="63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62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19"/>
  <sheetViews>
    <sheetView workbookViewId="0">
      <selection activeCell="F2" sqref="F2"/>
    </sheetView>
  </sheetViews>
  <sheetFormatPr defaultRowHeight="14.4" x14ac:dyDescent="0.3"/>
  <cols>
    <col min="1" max="1" width="24.5546875" customWidth="1"/>
    <col min="5" max="5" width="13.5546875" customWidth="1"/>
    <col min="6" max="6" width="10.5546875" customWidth="1"/>
    <col min="7" max="7" width="9.33203125" customWidth="1"/>
  </cols>
  <sheetData>
    <row r="1" spans="1:7" ht="28.8" x14ac:dyDescent="0.55000000000000004">
      <c r="A1" s="1" t="s">
        <v>18</v>
      </c>
      <c r="E1" s="2" t="s">
        <v>46</v>
      </c>
      <c r="F1" s="13">
        <v>45147</v>
      </c>
      <c r="G1" t="s">
        <v>47</v>
      </c>
    </row>
    <row r="3" spans="1:7" x14ac:dyDescent="0.3">
      <c r="A3" s="2" t="s">
        <v>24</v>
      </c>
    </row>
    <row r="4" spans="1:7" x14ac:dyDescent="0.3">
      <c r="A4" t="s">
        <v>73</v>
      </c>
    </row>
    <row r="5" spans="1:7" x14ac:dyDescent="0.3">
      <c r="A5" t="s">
        <v>71</v>
      </c>
    </row>
    <row r="6" spans="1:7" x14ac:dyDescent="0.3">
      <c r="A6" t="s">
        <v>19</v>
      </c>
    </row>
    <row r="9" spans="1:7" x14ac:dyDescent="0.3">
      <c r="A9" s="2" t="s">
        <v>20</v>
      </c>
    </row>
    <row r="10" spans="1:7" x14ac:dyDescent="0.3">
      <c r="A10" t="s">
        <v>21</v>
      </c>
      <c r="B10" t="s">
        <v>22</v>
      </c>
    </row>
    <row r="11" spans="1:7" x14ac:dyDescent="0.3">
      <c r="A11" t="s">
        <v>44</v>
      </c>
      <c r="B11" t="s">
        <v>34</v>
      </c>
    </row>
    <row r="12" spans="1:7" x14ac:dyDescent="0.3">
      <c r="A12" t="s">
        <v>37</v>
      </c>
      <c r="B12" t="s">
        <v>36</v>
      </c>
    </row>
    <row r="13" spans="1:7" x14ac:dyDescent="0.3">
      <c r="B13" t="s">
        <v>35</v>
      </c>
    </row>
    <row r="14" spans="1:7" x14ac:dyDescent="0.3">
      <c r="A14" t="s">
        <v>38</v>
      </c>
      <c r="B14" t="s">
        <v>23</v>
      </c>
    </row>
    <row r="15" spans="1:7" x14ac:dyDescent="0.3">
      <c r="A15" t="s">
        <v>42</v>
      </c>
      <c r="B15" t="s">
        <v>45</v>
      </c>
    </row>
    <row r="16" spans="1:7" x14ac:dyDescent="0.3">
      <c r="A16" t="s">
        <v>69</v>
      </c>
      <c r="B16" t="s">
        <v>49</v>
      </c>
    </row>
    <row r="19" spans="1:2" x14ac:dyDescent="0.3">
      <c r="A19" s="2" t="s">
        <v>59</v>
      </c>
      <c r="B19" t="s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W11"/>
  <sheetViews>
    <sheetView tabSelected="1" workbookViewId="0">
      <pane ySplit="1" topLeftCell="A2" activePane="bottomLeft" state="frozen"/>
      <selection pane="bottomLeft" activeCell="F9" sqref="F9"/>
    </sheetView>
  </sheetViews>
  <sheetFormatPr defaultColWidth="9.109375" defaultRowHeight="14.4" x14ac:dyDescent="0.3"/>
  <cols>
    <col min="1" max="1" width="14.6640625" style="3" bestFit="1" customWidth="1"/>
    <col min="2" max="2" width="8.77734375" style="3" bestFit="1" customWidth="1"/>
    <col min="3" max="3" width="30.21875" style="3" bestFit="1" customWidth="1"/>
    <col min="4" max="4" width="14" style="3" bestFit="1" customWidth="1"/>
    <col min="5" max="5" width="8" style="3" bestFit="1" customWidth="1"/>
    <col min="6" max="6" width="9.88671875" style="3" bestFit="1" customWidth="1"/>
    <col min="7" max="7" width="9.44140625" style="3" bestFit="1" customWidth="1"/>
    <col min="8" max="8" width="12.6640625" style="4" bestFit="1" customWidth="1"/>
    <col min="9" max="9" width="21.109375" style="5" bestFit="1" customWidth="1"/>
    <col min="10" max="10" width="16.77734375" style="5" bestFit="1" customWidth="1"/>
    <col min="11" max="11" width="13.88671875" style="4" bestFit="1" customWidth="1"/>
    <col min="12" max="12" width="13.21875" style="4" bestFit="1" customWidth="1"/>
    <col min="13" max="13" width="11" style="5" bestFit="1" customWidth="1"/>
    <col min="14" max="14" width="8.44140625" style="5" bestFit="1" customWidth="1"/>
    <col min="15" max="15" width="10.109375" style="5" bestFit="1" customWidth="1"/>
    <col min="16" max="16" width="17.33203125" style="5" bestFit="1" customWidth="1"/>
    <col min="17" max="17" width="11.5546875" style="4" bestFit="1" customWidth="1"/>
    <col min="18" max="18" width="16.21875" style="4" bestFit="1" customWidth="1"/>
    <col min="19" max="19" width="20.5546875" style="9" bestFit="1" customWidth="1"/>
    <col min="20" max="20" width="19.33203125" style="9" bestFit="1" customWidth="1"/>
    <col min="21" max="21" width="15" style="4" bestFit="1" customWidth="1"/>
    <col min="22" max="22" width="19.88671875" style="4" bestFit="1" customWidth="1"/>
    <col min="23" max="23" width="25.77734375" style="3" bestFit="1" customWidth="1"/>
    <col min="24" max="16384" width="9.109375" style="3"/>
  </cols>
  <sheetData>
    <row r="1" spans="1:23" x14ac:dyDescent="0.3">
      <c r="A1" s="3" t="s">
        <v>28</v>
      </c>
      <c r="B1" s="3" t="s">
        <v>29</v>
      </c>
      <c r="C1" s="3" t="s">
        <v>30</v>
      </c>
      <c r="D1" s="3" t="s">
        <v>25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t="s">
        <v>48</v>
      </c>
      <c r="T1" s="10" t="s">
        <v>39</v>
      </c>
      <c r="U1" s="10" t="s">
        <v>40</v>
      </c>
      <c r="V1" s="11" t="s">
        <v>41</v>
      </c>
      <c r="W1" s="3" t="s">
        <v>43</v>
      </c>
    </row>
    <row r="2" spans="1:23" x14ac:dyDescent="0.3">
      <c r="A2" s="8">
        <v>45141</v>
      </c>
      <c r="B2" s="3" t="s">
        <v>31</v>
      </c>
      <c r="C2" s="3" t="s">
        <v>0</v>
      </c>
      <c r="D2" s="3" t="s">
        <v>26</v>
      </c>
      <c r="E2" s="3">
        <v>10</v>
      </c>
      <c r="F2" s="3">
        <v>87</v>
      </c>
      <c r="G2" s="3">
        <v>8.6999999999999993</v>
      </c>
      <c r="H2" s="4">
        <v>0.3</v>
      </c>
      <c r="I2" s="5">
        <v>154376</v>
      </c>
      <c r="J2" s="5">
        <v>15438</v>
      </c>
      <c r="K2" s="4">
        <v>0.76900000000000002</v>
      </c>
      <c r="L2" s="4">
        <v>0.1</v>
      </c>
      <c r="M2" s="5">
        <v>730860</v>
      </c>
      <c r="N2" s="5">
        <v>118654</v>
      </c>
      <c r="O2" s="5">
        <v>0</v>
      </c>
      <c r="P2" s="5">
        <v>0</v>
      </c>
      <c r="Q2" s="4">
        <v>0.16200000000000001</v>
      </c>
      <c r="R2" s="4">
        <v>0</v>
      </c>
      <c r="S2" s="18">
        <v>0</v>
      </c>
      <c r="T2" s="10">
        <v>0</v>
      </c>
      <c r="U2" s="10">
        <v>0</v>
      </c>
      <c r="V2" s="11">
        <v>0</v>
      </c>
      <c r="W2" s="12">
        <f>IF(raceday_22_23[[#This Row],[Last Year Turnover]]&lt;&gt;0, raceday_22_23[[#This Row],[GBR/TO%]]-raceday_22_23[[#This Row],[Last Year GBR/TO%]], 0)</f>
        <v>0</v>
      </c>
    </row>
    <row r="3" spans="1:23" x14ac:dyDescent="0.3">
      <c r="A3" s="8">
        <v>45142</v>
      </c>
      <c r="B3" s="3" t="s">
        <v>32</v>
      </c>
      <c r="C3" s="3" t="s">
        <v>1</v>
      </c>
      <c r="D3" s="3" t="s">
        <v>27</v>
      </c>
      <c r="E3" s="3">
        <v>9</v>
      </c>
      <c r="F3" s="3">
        <v>81</v>
      </c>
      <c r="G3" s="3">
        <v>9</v>
      </c>
      <c r="H3" s="4">
        <v>0.55600000000000005</v>
      </c>
      <c r="I3" s="5">
        <v>118229</v>
      </c>
      <c r="J3" s="5">
        <v>13137</v>
      </c>
      <c r="K3" s="4">
        <v>1.331</v>
      </c>
      <c r="L3" s="4">
        <v>0.33300000000000002</v>
      </c>
      <c r="M3" s="5">
        <v>855754</v>
      </c>
      <c r="N3" s="5">
        <v>157352</v>
      </c>
      <c r="O3" s="5">
        <v>0</v>
      </c>
      <c r="P3" s="5">
        <v>0</v>
      </c>
      <c r="Q3" s="4">
        <v>0.184</v>
      </c>
      <c r="R3" s="4">
        <v>0</v>
      </c>
      <c r="S3" s="18">
        <v>0</v>
      </c>
      <c r="T3" s="10">
        <v>881225</v>
      </c>
      <c r="U3" s="10">
        <v>83444</v>
      </c>
      <c r="V3" s="11">
        <v>9.5000000000000001E-2</v>
      </c>
      <c r="W3" s="12">
        <f>IF(raceday_22_23[[#This Row],[Last Year Turnover]]&lt;&gt;0, raceday_22_23[[#This Row],[GBR/TO%]]-raceday_22_23[[#This Row],[Last Year GBR/TO%]], 0)</f>
        <v>8.8999999999999996E-2</v>
      </c>
    </row>
    <row r="4" spans="1:23" x14ac:dyDescent="0.3">
      <c r="A4" s="8">
        <v>45144</v>
      </c>
      <c r="B4" s="3" t="s">
        <v>33</v>
      </c>
      <c r="C4" s="3" t="s">
        <v>1</v>
      </c>
      <c r="D4" s="3" t="s">
        <v>27</v>
      </c>
      <c r="E4" s="3">
        <v>8</v>
      </c>
      <c r="F4" s="3">
        <v>84</v>
      </c>
      <c r="G4" s="3">
        <v>10.5</v>
      </c>
      <c r="H4" s="4">
        <v>0.25</v>
      </c>
      <c r="I4" s="5">
        <v>77900</v>
      </c>
      <c r="J4" s="5">
        <v>9738</v>
      </c>
      <c r="K4" s="4">
        <v>0.80900000000000005</v>
      </c>
      <c r="L4" s="4">
        <v>0.125</v>
      </c>
      <c r="M4" s="5">
        <v>564775</v>
      </c>
      <c r="N4" s="5">
        <v>63057</v>
      </c>
      <c r="O4" s="5">
        <v>0</v>
      </c>
      <c r="P4" s="5">
        <v>0</v>
      </c>
      <c r="Q4" s="4">
        <v>0.112</v>
      </c>
      <c r="R4" s="4">
        <v>0</v>
      </c>
      <c r="S4" s="18">
        <v>0</v>
      </c>
      <c r="T4" s="10">
        <v>509733</v>
      </c>
      <c r="U4" s="10">
        <v>135072</v>
      </c>
      <c r="V4" s="11">
        <v>0.26500000000000001</v>
      </c>
      <c r="W4" s="12">
        <f>IF(raceday_22_23[[#This Row],[Last Year Turnover]]&lt;&gt;0, raceday_22_23[[#This Row],[GBR/TO%]]-raceday_22_23[[#This Row],[Last Year GBR/TO%]], 0)</f>
        <v>-0.15300000000000002</v>
      </c>
    </row>
    <row r="5" spans="1:23" x14ac:dyDescent="0.3">
      <c r="O5" s="4"/>
    </row>
    <row r="6" spans="1:23" x14ac:dyDescent="0.3">
      <c r="O6" s="4"/>
    </row>
    <row r="7" spans="1:23" x14ac:dyDescent="0.3">
      <c r="O7" s="21"/>
      <c r="P7" s="4"/>
    </row>
    <row r="11" spans="1:23" x14ac:dyDescent="0.3">
      <c r="U11" s="20"/>
    </row>
  </sheetData>
  <phoneticPr fontId="4" type="noConversion"/>
  <conditionalFormatting sqref="W2:W1048576">
    <cfRule type="cellIs" dxfId="61" priority="1" operator="lessThan">
      <formula>0</formula>
    </cfRule>
    <cfRule type="cellIs" dxfId="60" priority="2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5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T12"/>
  <sheetViews>
    <sheetView workbookViewId="0">
      <selection activeCell="E33" sqref="E33"/>
    </sheetView>
  </sheetViews>
  <sheetFormatPr defaultColWidth="9.109375" defaultRowHeight="14.4" x14ac:dyDescent="0.3"/>
  <cols>
    <col min="1" max="1" width="15.44140625" style="3" bestFit="1" customWidth="1"/>
    <col min="2" max="2" width="30.21875" style="3" bestFit="1" customWidth="1"/>
    <col min="3" max="3" width="8" style="3" bestFit="1" customWidth="1"/>
    <col min="4" max="4" width="9.88671875" style="3" bestFit="1" customWidth="1"/>
    <col min="5" max="5" width="9.44140625" style="3" bestFit="1" customWidth="1"/>
    <col min="6" max="6" width="12.6640625" style="4" bestFit="1" customWidth="1"/>
    <col min="7" max="7" width="21.109375" style="5" bestFit="1" customWidth="1"/>
    <col min="8" max="8" width="16.77734375" style="5" bestFit="1" customWidth="1"/>
    <col min="9" max="9" width="13.88671875" style="4" bestFit="1" customWidth="1"/>
    <col min="10" max="10" width="13.21875" style="4" bestFit="1" customWidth="1"/>
    <col min="11" max="11" width="11" style="5" bestFit="1" customWidth="1"/>
    <col min="12" max="12" width="8.44140625" style="5" bestFit="1" customWidth="1"/>
    <col min="13" max="13" width="10.109375" style="5" bestFit="1" customWidth="1"/>
    <col min="14" max="14" width="17.33203125" style="5" bestFit="1" customWidth="1"/>
    <col min="15" max="15" width="11.5546875" style="4" bestFit="1" customWidth="1"/>
    <col min="16" max="16" width="16.21875" style="6" bestFit="1" customWidth="1"/>
    <col min="17" max="17" width="20.5546875" style="4" bestFit="1" customWidth="1"/>
    <col min="18" max="18" width="21.21875" style="23" bestFit="1" customWidth="1"/>
    <col min="19" max="19" width="5.33203125" style="4" bestFit="1" customWidth="1"/>
    <col min="20" max="20" width="16.6640625" style="4" bestFit="1" customWidth="1"/>
    <col min="21" max="21" width="15.88671875" style="3" bestFit="1" customWidth="1"/>
    <col min="22" max="22" width="32.5546875" style="3" bestFit="1" customWidth="1"/>
    <col min="23" max="23" width="13" style="3" bestFit="1" customWidth="1"/>
    <col min="24" max="24" width="15.109375" style="3" bestFit="1" customWidth="1"/>
    <col min="25" max="25" width="16.109375" style="3" bestFit="1" customWidth="1"/>
    <col min="26" max="26" width="15.109375" style="3" bestFit="1" customWidth="1"/>
    <col min="27" max="27" width="14" style="3" bestFit="1" customWidth="1"/>
    <col min="28" max="28" width="17" style="3" bestFit="1" customWidth="1"/>
    <col min="29" max="29" width="10.88671875" style="3" bestFit="1" customWidth="1"/>
    <col min="30" max="30" width="12.109375" style="3" bestFit="1" customWidth="1"/>
    <col min="31" max="31" width="18.44140625" style="3" bestFit="1" customWidth="1"/>
    <col min="32" max="32" width="20.88671875" style="3" bestFit="1" customWidth="1"/>
    <col min="33" max="33" width="12.44140625" style="3" bestFit="1" customWidth="1"/>
    <col min="34" max="34" width="12.5546875" style="3" bestFit="1" customWidth="1"/>
    <col min="35" max="35" width="18.109375" style="3" bestFit="1" customWidth="1"/>
    <col min="36" max="16384" width="9.109375" style="3"/>
  </cols>
  <sheetData>
    <row r="1" spans="1:20" x14ac:dyDescent="0.3">
      <c r="A1" s="14" t="s">
        <v>2</v>
      </c>
      <c r="B1" s="14" t="s">
        <v>3</v>
      </c>
      <c r="C1" s="14" t="s">
        <v>4</v>
      </c>
      <c r="D1" s="14" t="s">
        <v>5</v>
      </c>
      <c r="E1" s="14" t="s">
        <v>6</v>
      </c>
      <c r="F1" s="15" t="s">
        <v>7</v>
      </c>
      <c r="G1" s="16" t="s">
        <v>8</v>
      </c>
      <c r="H1" s="16" t="s">
        <v>9</v>
      </c>
      <c r="I1" s="15" t="s">
        <v>10</v>
      </c>
      <c r="J1" s="15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5" t="s">
        <v>16</v>
      </c>
      <c r="P1" s="17" t="s">
        <v>17</v>
      </c>
      <c r="Q1" s="11" t="s">
        <v>48</v>
      </c>
      <c r="R1" s="24" t="s">
        <v>70</v>
      </c>
      <c r="S1" s="3"/>
      <c r="T1" s="3"/>
    </row>
    <row r="2" spans="1:20" x14ac:dyDescent="0.3">
      <c r="A2" s="3" t="s">
        <v>72</v>
      </c>
      <c r="B2" s="3" t="s">
        <v>1</v>
      </c>
      <c r="C2" s="3">
        <v>17</v>
      </c>
      <c r="D2" s="3">
        <v>165</v>
      </c>
      <c r="E2" s="3">
        <v>9.6999999999999993</v>
      </c>
      <c r="F2" s="4">
        <v>0.41199999999999998</v>
      </c>
      <c r="G2" s="5">
        <v>196129</v>
      </c>
      <c r="H2" s="5">
        <v>11537</v>
      </c>
      <c r="I2" s="4">
        <v>1.1240000000000001</v>
      </c>
      <c r="J2" s="4">
        <v>0.23499999999999999</v>
      </c>
      <c r="K2" s="5">
        <v>1420529</v>
      </c>
      <c r="L2" s="5">
        <v>220409</v>
      </c>
      <c r="M2" s="5">
        <v>0</v>
      </c>
      <c r="N2" s="5">
        <v>0</v>
      </c>
      <c r="O2" s="4">
        <v>0.155</v>
      </c>
      <c r="P2" s="4">
        <v>0</v>
      </c>
      <c r="Q2" s="11">
        <v>0</v>
      </c>
      <c r="R2" s="22">
        <f>club_summary_data_22_23[[#This Row],[Turnover]]/club_summary_data_22_23[[#This Row],[Races]]</f>
        <v>83560.529411764699</v>
      </c>
      <c r="S2" s="3"/>
      <c r="T2" s="3"/>
    </row>
    <row r="3" spans="1:20" x14ac:dyDescent="0.3">
      <c r="A3" s="3" t="s">
        <v>72</v>
      </c>
      <c r="B3" s="3" t="s">
        <v>0</v>
      </c>
      <c r="C3" s="3">
        <v>10</v>
      </c>
      <c r="D3" s="3">
        <v>87</v>
      </c>
      <c r="E3" s="3">
        <v>8.6999999999999993</v>
      </c>
      <c r="F3" s="4">
        <v>0.3</v>
      </c>
      <c r="G3" s="5">
        <v>154376</v>
      </c>
      <c r="H3" s="5">
        <v>15437.6</v>
      </c>
      <c r="I3" s="4">
        <v>0.76900000000000002</v>
      </c>
      <c r="J3" s="4">
        <v>0.1</v>
      </c>
      <c r="K3" s="5">
        <v>730860</v>
      </c>
      <c r="L3" s="5">
        <v>118654</v>
      </c>
      <c r="M3" s="5">
        <v>0</v>
      </c>
      <c r="N3" s="5">
        <v>0</v>
      </c>
      <c r="O3" s="4">
        <v>0.16200000000000001</v>
      </c>
      <c r="P3" s="4">
        <v>0</v>
      </c>
      <c r="Q3" s="11">
        <v>0</v>
      </c>
      <c r="R3" s="22">
        <f>club_summary_data_22_23[[#This Row],[Turnover]]/club_summary_data_22_23[[#This Row],[Races]]</f>
        <v>73086</v>
      </c>
      <c r="S3" s="3"/>
      <c r="T3" s="3"/>
    </row>
    <row r="4" spans="1:20" x14ac:dyDescent="0.3">
      <c r="S4" s="3"/>
      <c r="T4" s="3"/>
    </row>
    <row r="5" spans="1:20" x14ac:dyDescent="0.3">
      <c r="S5" s="3"/>
      <c r="T5" s="3"/>
    </row>
    <row r="6" spans="1:20" x14ac:dyDescent="0.3">
      <c r="M6" s="4"/>
      <c r="S6" s="3"/>
      <c r="T6" s="3"/>
    </row>
    <row r="7" spans="1:20" x14ac:dyDescent="0.3">
      <c r="S7" s="3"/>
      <c r="T7" s="3"/>
    </row>
    <row r="8" spans="1:20" x14ac:dyDescent="0.3">
      <c r="S8" s="3"/>
      <c r="T8" s="3"/>
    </row>
    <row r="9" spans="1:20" x14ac:dyDescent="0.3">
      <c r="S9" s="3"/>
      <c r="T9" s="3"/>
    </row>
    <row r="10" spans="1:20" x14ac:dyDescent="0.3">
      <c r="S10" s="3"/>
      <c r="T10" s="3"/>
    </row>
    <row r="11" spans="1:20" x14ac:dyDescent="0.3">
      <c r="S11" s="3"/>
      <c r="T11" s="3"/>
    </row>
    <row r="12" spans="1:20" x14ac:dyDescent="0.3">
      <c r="S12" s="3"/>
      <c r="T12" s="3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18"/>
  <sheetViews>
    <sheetView topLeftCell="E1" workbookViewId="0">
      <selection activeCell="N21" sqref="N21"/>
    </sheetView>
  </sheetViews>
  <sheetFormatPr defaultColWidth="9.109375" defaultRowHeight="14.4" x14ac:dyDescent="0.3"/>
  <cols>
    <col min="1" max="1" width="15.44140625" style="3" bestFit="1" customWidth="1"/>
    <col min="2" max="2" width="14" style="3" bestFit="1" customWidth="1"/>
    <col min="3" max="3" width="8" style="3" bestFit="1" customWidth="1"/>
    <col min="4" max="4" width="9.88671875" style="3" bestFit="1" customWidth="1"/>
    <col min="5" max="5" width="9.44140625" style="3" bestFit="1" customWidth="1"/>
    <col min="6" max="6" width="12.6640625" style="3" bestFit="1" customWidth="1"/>
    <col min="7" max="7" width="21.109375" style="3" bestFit="1" customWidth="1"/>
    <col min="8" max="8" width="16.77734375" style="3" bestFit="1" customWidth="1"/>
    <col min="9" max="9" width="13.88671875" style="3" bestFit="1" customWidth="1"/>
    <col min="10" max="10" width="13.21875" style="3" bestFit="1" customWidth="1"/>
    <col min="11" max="11" width="11" style="3" bestFit="1" customWidth="1"/>
    <col min="12" max="12" width="8.44140625" style="3" bestFit="1" customWidth="1"/>
    <col min="13" max="13" width="10.109375" style="3" bestFit="1" customWidth="1"/>
    <col min="14" max="14" width="17.33203125" style="3" bestFit="1" customWidth="1"/>
    <col min="15" max="15" width="11.5546875" style="3" bestFit="1" customWidth="1"/>
    <col min="16" max="16" width="16.21875" style="3" bestFit="1" customWidth="1"/>
    <col min="17" max="17" width="20.5546875" style="3" bestFit="1" customWidth="1"/>
    <col min="18" max="18" width="13.88671875" style="3" customWidth="1"/>
    <col min="19" max="19" width="18.109375" style="3" customWidth="1"/>
    <col min="20" max="16384" width="9.109375" style="3"/>
  </cols>
  <sheetData>
    <row r="1" spans="1:19" x14ac:dyDescent="0.3">
      <c r="A1" s="3" t="s">
        <v>2</v>
      </c>
      <c r="B1" s="3" t="s">
        <v>25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t="s">
        <v>48</v>
      </c>
    </row>
    <row r="2" spans="1:19" x14ac:dyDescent="0.3">
      <c r="A2" s="3" t="s">
        <v>72</v>
      </c>
      <c r="B2" s="3" t="s">
        <v>26</v>
      </c>
      <c r="C2" s="3">
        <v>10</v>
      </c>
      <c r="D2" s="3">
        <v>87</v>
      </c>
      <c r="E2" s="3">
        <v>8.6999999999999993</v>
      </c>
      <c r="F2" s="4">
        <v>0.3</v>
      </c>
      <c r="G2" s="5">
        <v>154376</v>
      </c>
      <c r="H2" s="5">
        <v>15437.6</v>
      </c>
      <c r="I2" s="4">
        <v>0.76900000000000002</v>
      </c>
      <c r="J2" s="4">
        <v>0.1</v>
      </c>
      <c r="K2" s="5">
        <v>730860</v>
      </c>
      <c r="L2" s="5">
        <v>118654</v>
      </c>
      <c r="M2" s="5">
        <v>0</v>
      </c>
      <c r="N2" s="5">
        <v>0</v>
      </c>
      <c r="O2" s="4">
        <v>0.16200000000000001</v>
      </c>
      <c r="P2" s="4"/>
      <c r="Q2" s="4"/>
    </row>
    <row r="3" spans="1:19" x14ac:dyDescent="0.3">
      <c r="A3" s="3" t="s">
        <v>72</v>
      </c>
      <c r="B3" s="3" t="s">
        <v>27</v>
      </c>
      <c r="C3" s="3">
        <v>17</v>
      </c>
      <c r="D3" s="3">
        <v>165</v>
      </c>
      <c r="E3" s="3">
        <v>9.6999999999999993</v>
      </c>
      <c r="F3" s="4">
        <v>0.41199999999999998</v>
      </c>
      <c r="G3" s="5">
        <v>196129</v>
      </c>
      <c r="H3" s="5">
        <v>11537</v>
      </c>
      <c r="I3" s="4">
        <v>1.1240000000000001</v>
      </c>
      <c r="J3" s="4">
        <v>0.23499999999999999</v>
      </c>
      <c r="K3" s="5">
        <v>1420529</v>
      </c>
      <c r="L3" s="5">
        <v>220409</v>
      </c>
      <c r="M3" s="5">
        <v>0</v>
      </c>
      <c r="N3" s="5">
        <v>0</v>
      </c>
      <c r="O3" s="4">
        <v>0.155</v>
      </c>
      <c r="P3" s="4"/>
      <c r="Q3" s="4"/>
    </row>
    <row r="6" spans="1:19" x14ac:dyDescent="0.3">
      <c r="A6" s="31" t="s">
        <v>58</v>
      </c>
      <c r="B6" s="31"/>
    </row>
    <row r="8" spans="1:19" x14ac:dyDescent="0.3">
      <c r="C8" s="25" t="s">
        <v>4</v>
      </c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25" t="s">
        <v>12</v>
      </c>
      <c r="L8" s="25" t="s">
        <v>62</v>
      </c>
      <c r="M8" s="25" t="s">
        <v>13</v>
      </c>
      <c r="N8" s="25" t="s">
        <v>63</v>
      </c>
      <c r="O8" s="25" t="s">
        <v>14</v>
      </c>
      <c r="P8" s="25" t="s">
        <v>15</v>
      </c>
      <c r="Q8" s="25" t="s">
        <v>16</v>
      </c>
      <c r="R8" s="25" t="s">
        <v>17</v>
      </c>
      <c r="S8" s="25" t="s">
        <v>48</v>
      </c>
    </row>
    <row r="9" spans="1:19" x14ac:dyDescent="0.3">
      <c r="A9" s="31" t="str">
        <f>CONCATENATE("Current Season (as at", " ", TEXT(NOTES!F1, "dd"), " ", TEXT(NOTES!F1, "mmmm"), "):")</f>
        <v>Current Season (as at 09 August):</v>
      </c>
      <c r="B9" s="31"/>
      <c r="C9" s="26">
        <f>SUM(nz_grouping_summary_data_22_23[Races])</f>
        <v>27</v>
      </c>
      <c r="D9" s="26">
        <f>SUM(nz_grouping_summary_data_22_23[Starters])</f>
        <v>252</v>
      </c>
      <c r="E9" s="27">
        <f>D9/C9</f>
        <v>9.3333333333333339</v>
      </c>
      <c r="F9" s="28">
        <f>(ROUND(F2*C2,0) + ROUND(F3*C3,0) + ROUND(F4*C4,0))/C9</f>
        <v>0.37037037037037035</v>
      </c>
      <c r="G9" s="29">
        <f>SUM(nz_grouping_summary_data_22_23[HRNZ Funded Stakes])</f>
        <v>350505</v>
      </c>
      <c r="H9" s="29">
        <f>G9/C9</f>
        <v>12981.666666666666</v>
      </c>
      <c r="I9" s="28">
        <f>M9/G9</f>
        <v>0.96735567252963583</v>
      </c>
      <c r="J9" s="28">
        <f>(ROUND(J2*C2,0) + ROUND(J3*C3,0) + ROUND(J4*C4,0))/C9</f>
        <v>0.18518518518518517</v>
      </c>
      <c r="K9" s="29">
        <f>SUM(nz_grouping_summary_data_22_23[Turnover])</f>
        <v>2151389</v>
      </c>
      <c r="L9" s="29">
        <f>K9/C9</f>
        <v>79681.074074074073</v>
      </c>
      <c r="M9" s="29">
        <f>SUM(nz_grouping_summary_data_22_23[GBR])</f>
        <v>339063</v>
      </c>
      <c r="N9" s="29">
        <f>M9/C9</f>
        <v>12557.888888888889</v>
      </c>
      <c r="O9" s="29">
        <f>SUM(nz_grouping_summary_data_22_23[Funding])</f>
        <v>0</v>
      </c>
      <c r="P9" s="29">
        <f>SUM(nz_grouping_summary_data_22_23[Export TO (AUD)])</f>
        <v>0</v>
      </c>
      <c r="Q9" s="28">
        <f>M9/K9</f>
        <v>0.15760190277072161</v>
      </c>
      <c r="R9" s="28" t="e">
        <f>M9/O9</f>
        <v>#DIV/0!</v>
      </c>
      <c r="S9" s="28" t="e">
        <f>K9/O9</f>
        <v>#DIV/0!</v>
      </c>
    </row>
    <row r="10" spans="1:19" x14ac:dyDescent="0.3">
      <c r="A10" s="31" t="str">
        <f>CONCATENATE("Prior Season (as at", " ", TEXT(NOTES!F1, "dd"), " ", TEXT(NOTES!F1, "mmmm"), "):")</f>
        <v>Prior Season (as at 09 August):</v>
      </c>
      <c r="B10" s="31"/>
      <c r="C10" s="26" cm="1">
        <f t="array" ref="C10">prior_yr_cumulative_total[Races]</f>
        <v>25</v>
      </c>
      <c r="D10" s="26" cm="1">
        <f t="array" ref="D10">prior_yr_cumulative_total[Starters]</f>
        <v>218</v>
      </c>
      <c r="E10" s="27" cm="1">
        <f t="array" ref="E10">prior_yr_cumulative_total[AFS]</f>
        <v>8.7200000000000006</v>
      </c>
      <c r="F10" s="28" cm="1">
        <f t="array" ref="F10">prior_yr_cumulative_total[num_fav_winners]/prior_yr_cumulative_total[Races]</f>
        <v>0.36</v>
      </c>
      <c r="G10" s="29" cm="1">
        <f t="array" ref="G10">prior_yr_cumulative_total[hrnz_funded_stakes]</f>
        <v>273190</v>
      </c>
      <c r="H10" s="29">
        <f>G10/C10</f>
        <v>10927.6</v>
      </c>
      <c r="I10" s="28">
        <f>M10/G10</f>
        <v>1.3080310406676672</v>
      </c>
      <c r="J10" s="28" cm="1">
        <f t="array" ref="J10">prior_yr_cumulative_total[num_late_starts]/prior_yr_cumulative_total[Races]</f>
        <v>0.16</v>
      </c>
      <c r="K10" s="29" cm="1">
        <f t="array" ref="K10">prior_yr_cumulative_total[turnover]</f>
        <v>2032888</v>
      </c>
      <c r="L10" s="29">
        <f>K10/C10</f>
        <v>81315.520000000004</v>
      </c>
      <c r="M10" s="29" cm="1">
        <f t="array" ref="M10">prior_yr_cumulative_total[GBR]</f>
        <v>357341</v>
      </c>
      <c r="N10" s="29">
        <f>M10/C10</f>
        <v>14293.64</v>
      </c>
      <c r="O10" s="29" t="str" cm="1">
        <f t="array" ref="O10">prior_yr_cumulative_total[total_funding]</f>
        <v>362768</v>
      </c>
      <c r="P10" s="29" cm="1">
        <f t="array" ref="P10">prior_yr_cumulative_total[export_TO]</f>
        <v>924730</v>
      </c>
      <c r="Q10" s="28">
        <f>M10/K10</f>
        <v>0.17577997410580415</v>
      </c>
      <c r="R10" s="28">
        <f>M10/O10</f>
        <v>0.98504002558108761</v>
      </c>
      <c r="S10" s="28">
        <f>K10/O10</f>
        <v>5.6038239315485381</v>
      </c>
    </row>
    <row r="11" spans="1:19" x14ac:dyDescent="0.3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8"/>
      <c r="N11" s="26"/>
      <c r="O11" s="26"/>
      <c r="P11" s="26"/>
      <c r="Q11" s="26"/>
      <c r="R11" s="26"/>
      <c r="S11" s="26"/>
    </row>
    <row r="12" spans="1:19" x14ac:dyDescent="0.3">
      <c r="A12" s="31" t="s">
        <v>68</v>
      </c>
      <c r="B12" s="31"/>
      <c r="C12" s="30">
        <f>(C9-C10)/C10</f>
        <v>0.08</v>
      </c>
      <c r="D12" s="30">
        <f t="shared" ref="D12:H12" si="0">(D9-D10)/D10</f>
        <v>0.15596330275229359</v>
      </c>
      <c r="E12" s="30">
        <f t="shared" si="0"/>
        <v>7.0336391437308854E-2</v>
      </c>
      <c r="F12" s="28">
        <f t="shared" ref="F12:J12" si="1">F9-F10</f>
        <v>1.0370370370370363E-2</v>
      </c>
      <c r="G12" s="28">
        <f t="shared" si="0"/>
        <v>0.28300816281708702</v>
      </c>
      <c r="H12" s="28">
        <f t="shared" si="0"/>
        <v>0.18797052112693233</v>
      </c>
      <c r="I12" s="28">
        <f t="shared" si="1"/>
        <v>-0.34067536813803134</v>
      </c>
      <c r="J12" s="28">
        <f t="shared" si="1"/>
        <v>2.5185185185185172E-2</v>
      </c>
      <c r="K12" s="28">
        <f t="shared" ref="K12:P12" si="2">(K9-K10)/K10</f>
        <v>5.8291947219915707E-2</v>
      </c>
      <c r="L12" s="28">
        <f t="shared" si="2"/>
        <v>-2.0100048870448483E-2</v>
      </c>
      <c r="M12" s="28">
        <f t="shared" si="2"/>
        <v>-5.1150021967812258E-2</v>
      </c>
      <c r="N12" s="28">
        <f t="shared" si="2"/>
        <v>-0.12143520552575207</v>
      </c>
      <c r="O12" s="28">
        <f t="shared" si="2"/>
        <v>-1</v>
      </c>
      <c r="P12" s="28">
        <f t="shared" si="2"/>
        <v>-1</v>
      </c>
      <c r="Q12" s="28">
        <f t="shared" ref="Q12" si="3">Q9-Q10</f>
        <v>-1.8178071335082535E-2</v>
      </c>
      <c r="R12" s="28" t="e">
        <f>R9-R10</f>
        <v>#DIV/0!</v>
      </c>
      <c r="S12" s="28" t="e">
        <f>S9-S10</f>
        <v>#DIV/0!</v>
      </c>
    </row>
    <row r="13" spans="1:19" x14ac:dyDescent="0.3">
      <c r="C13" s="19"/>
      <c r="D13" s="19"/>
      <c r="E13" s="19"/>
    </row>
    <row r="16" spans="1:19" x14ac:dyDescent="0.3">
      <c r="A16" s="7" t="s">
        <v>64</v>
      </c>
      <c r="B16" s="3" t="s">
        <v>66</v>
      </c>
    </row>
    <row r="17" spans="2:2" x14ac:dyDescent="0.3">
      <c r="B17" s="3" t="s">
        <v>65</v>
      </c>
    </row>
    <row r="18" spans="2:2" x14ac:dyDescent="0.3">
      <c r="B18" s="3" t="s">
        <v>67</v>
      </c>
    </row>
  </sheetData>
  <mergeCells count="4">
    <mergeCell ref="A6:B6"/>
    <mergeCell ref="A9:B9"/>
    <mergeCell ref="A10:B10"/>
    <mergeCell ref="A12:B12"/>
  </mergeCells>
  <conditionalFormatting sqref="C12:S12">
    <cfRule type="cellIs" dxfId="59" priority="1" operator="lessThan">
      <formula>0</formula>
    </cfRule>
    <cfRule type="cellIs" dxfId="58" priority="2" operator="greaterThan">
      <formula>0</formula>
    </cfRule>
  </conditionalFormatting>
  <pageMargins left="0.7" right="0.7" top="0.75" bottom="0.75" header="0.3" footer="0.3"/>
  <ignoredErrors>
    <ignoredError sqref="F12" formula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L2"/>
  <sheetViews>
    <sheetView workbookViewId="0">
      <selection activeCell="G18" sqref="G18"/>
    </sheetView>
  </sheetViews>
  <sheetFormatPr defaultRowHeight="14.4" x14ac:dyDescent="0.3"/>
  <cols>
    <col min="1" max="1" width="15.44140625" bestFit="1" customWidth="1"/>
    <col min="2" max="2" width="8" bestFit="1" customWidth="1"/>
    <col min="3" max="3" width="9.88671875" bestFit="1" customWidth="1"/>
    <col min="4" max="4" width="6.33203125" bestFit="1" customWidth="1"/>
    <col min="5" max="5" width="18.77734375" bestFit="1" customWidth="1"/>
    <col min="6" max="6" width="20.77734375" bestFit="1" customWidth="1"/>
    <col min="7" max="7" width="13.5546875" bestFit="1" customWidth="1"/>
    <col min="8" max="8" width="15" bestFit="1" customWidth="1"/>
    <col min="9" max="9" width="10.6640625" bestFit="1" customWidth="1"/>
    <col min="10" max="10" width="7" bestFit="1" customWidth="1"/>
    <col min="11" max="11" width="12.21875" bestFit="1" customWidth="1"/>
    <col min="12" max="12" width="17.21875" bestFit="1" customWidth="1"/>
    <col min="13" max="13" width="16.88671875" bestFit="1" customWidth="1"/>
  </cols>
  <sheetData>
    <row r="1" spans="1:12" x14ac:dyDescent="0.3">
      <c r="A1" t="s">
        <v>50</v>
      </c>
      <c r="B1" t="s">
        <v>4</v>
      </c>
      <c r="C1" t="s">
        <v>5</v>
      </c>
      <c r="D1" t="s">
        <v>51</v>
      </c>
      <c r="E1" t="s">
        <v>52</v>
      </c>
      <c r="F1" t="s">
        <v>53</v>
      </c>
      <c r="G1" t="s">
        <v>54</v>
      </c>
      <c r="H1" t="s">
        <v>61</v>
      </c>
      <c r="I1" t="s">
        <v>55</v>
      </c>
      <c r="J1" t="s">
        <v>13</v>
      </c>
      <c r="K1" t="s">
        <v>56</v>
      </c>
      <c r="L1" t="s">
        <v>57</v>
      </c>
    </row>
    <row r="2" spans="1:12" x14ac:dyDescent="0.3">
      <c r="A2" t="s">
        <v>74</v>
      </c>
      <c r="B2">
        <v>25</v>
      </c>
      <c r="C2">
        <v>218</v>
      </c>
      <c r="D2">
        <v>8.7200000000000006</v>
      </c>
      <c r="E2">
        <v>9</v>
      </c>
      <c r="F2">
        <v>273190</v>
      </c>
      <c r="G2">
        <v>273190</v>
      </c>
      <c r="H2" t="s">
        <v>75</v>
      </c>
      <c r="I2">
        <v>2032888</v>
      </c>
      <c r="J2">
        <v>357341</v>
      </c>
      <c r="K2">
        <v>924730</v>
      </c>
      <c r="L2">
        <v>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7" ma:contentTypeDescription="Create a new document." ma:contentTypeScope="" ma:versionID="daae06d44df8502efe6bf7d7b9ecc054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59470f1350df3ba61d2e70bdf9a6e0b8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7EA98EC-E608-44ED-8AAC-D8027C970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67695E-4DC1-4356-A73D-3ACA880082D2}">
  <ds:schemaRefs>
    <ds:schemaRef ds:uri="http://schemas.microsoft.com/office/2006/metadata/properties"/>
    <ds:schemaRef ds:uri="http://schemas.microsoft.com/office/infopath/2007/PartnerControls"/>
    <ds:schemaRef ds:uri="287d39be-265c-41d3-9c85-5908a119e800"/>
    <ds:schemaRef ds:uri="2920cc6e-6f47-46b2-b90b-a34d4cc28340"/>
  </ds:schemaRefs>
</ds:datastoreItem>
</file>

<file path=customXml/itemProps3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Raceday Breakdown</vt:lpstr>
      <vt:lpstr>Club Breakdown</vt:lpstr>
      <vt:lpstr>NZ Grouping Breakdown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Ollie Partridge</cp:lastModifiedBy>
  <cp:lastPrinted>2023-02-22T18:23:47Z</cp:lastPrinted>
  <dcterms:created xsi:type="dcterms:W3CDTF">2022-09-15T04:29:49Z</dcterms:created>
  <dcterms:modified xsi:type="dcterms:W3CDTF">2023-08-08T21:38:23Z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