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420" documentId="8_{AAD5AAB2-47E2-437E-81A2-472403DF00FE}" xr6:coauthVersionLast="47" xr6:coauthVersionMax="47" xr10:uidLastSave="{794BF773-773F-4667-98FE-3DCC0848C2AE}"/>
  <bookViews>
    <workbookView xWindow="-108" yWindow="-108" windowWidth="23256" windowHeight="12576" tabRatio="762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Breakdown'!$A$1:$Q$9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Breakdown'!$A$1:$V$39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R8" i="2"/>
  <c r="R7" i="2"/>
  <c r="R5" i="2"/>
  <c r="R2" i="2"/>
  <c r="R3" i="2"/>
  <c r="R9" i="2"/>
  <c r="R6" i="2" l="1"/>
  <c r="R4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R10" i="5"/>
  <c r="R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<sst xmlns="http://schemas.openxmlformats.org/spreadsheetml/2006/main" count="254" uniqueCount="91">
  <si>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</si>
  <si>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</si>
  <si>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</si>
  <si>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</si>
  <si>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</si>
  <si>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</si>
  <si>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</si>
  <si>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</si>
  <si>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</si>
  <si>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</si>
  <si>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</si>
  <si>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</si>
  <si>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</si>
  <si>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</si>
  <si>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</si>
  <si>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</si>
  <si>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</si>
  <si>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</si>
  <si>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</si>
  <si>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</si>
  <si>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</si>
  <si>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</si>
  <si>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</si>
  <si>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</si>
  <si>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</si>
  <si>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</si>
  <si>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</si>
  <si>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</si>
  <si>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</si>
  <si>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</si>
  <si>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</si>
  <si>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</si>
  <si>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</si>
  <si>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</si>
  <si>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</si>
  <si>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</si>
  <si>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</si>
  <si>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</si>
  <si>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</si>
  <si>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</si>
  <si>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</si>
  <si>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</si>
  <si>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</si>
  <si>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</si>
  <si>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</si>
  <si>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</si>
  <si>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</si>
  <si>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</si>
  <si>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</si>
  <si>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</si>
  <si>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</si>
  <si>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</si>
  <si>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</si>
  <si>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</si>
  <si>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</si>
  <si>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</si>
  <si>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</si>
  <si>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</si>
  <si>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</si>
  <si>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</si>
  <si>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</si>
  <si>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</si>
  <si>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</si>
  <si>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</si>
  <si>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</si>
  <si>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</si>
  <si>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</si>
  <si>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</si>
  <si>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</si>
  <si>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</si>
  <si>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</si>
  <si>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</si>
  <si>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</si>
  <si>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</si>
  <si>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</si>
  <si>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</si>
  <si>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</si>
  <si>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</si>
  <si>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</si>
  <si>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Kurow Harness Racing Club Inc</t>
  </si>
  <si>
    <t>Gore Harness Racing Club Inc</t>
  </si>
  <si>
    <t>Rangiora Harness Racing Club Inc</t>
  </si>
  <si>
    <t>Wyndham Harness Racing Club Inc</t>
  </si>
  <si>
    <t>Methven Trotting Club Inc</t>
  </si>
  <si>
    <t>Invercargill Harness Racing Club Inc</t>
  </si>
  <si>
    <t>Oamaru Harness Racing Club Inc</t>
  </si>
  <si>
    <t>Saturday</t>
  </si>
  <si>
    <t>Banks Peninsula Trotting Club Inc</t>
  </si>
  <si>
    <t>Timaru Harness Racing Club Inc</t>
  </si>
  <si>
    <t>Northern Southland Trotting Club Inc</t>
  </si>
  <si>
    <t>5487158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</si>
</sst>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39" tableType="queryTable" totalsRowShown="0" headerRowDxfId="92" dataDxfId="91">
  <autoFilter ref="A1:W39" xr:uid="{8ECB3143-AA95-4BFF-A156-EF7EBE26DCDE}"/>
  <sortState xmlns:xlrd2="http://schemas.microsoft.com/office/spreadsheetml/2017/richdata2" ref="A2:W39">
    <sortCondition ref="A1:A39"/>
  </sortState>
  <tableColumns count="23">
    <tableColumn id="1" xr3:uid="{5F1515AB-D4C6-450E-90C6-8D42083D358F}" uniqueName="1" name="Raceday Date" queryTableFieldId="1" dataDxfId="39" totalsRowDxfId="90"/>
    <tableColumn id="3" xr3:uid="{4D22E4DB-A2CB-484E-98AB-D3196AA8DCBA}" uniqueName="3" name="Day" queryTableFieldId="3" dataDxfId="38" totalsRowDxfId="89"/>
    <tableColumn id="4" xr3:uid="{079CAB0E-B157-4580-890F-A2E8A321D4DA}" uniqueName="4" name="Club" queryTableFieldId="4" dataDxfId="37" totalsRowDxfId="88"/>
    <tableColumn id="5" xr3:uid="{B6974082-46C7-4DB4-9C07-8ACA1D9582CC}" uniqueName="5" name="NZ Grouping" queryTableFieldId="5" dataDxfId="36" totalsRowDxfId="87"/>
    <tableColumn id="6" xr3:uid="{F501D4AB-49F6-42D0-A6C3-C366D3CD9C9F}" uniqueName="6" name="Races" queryTableFieldId="6" dataDxfId="35" totalsRowDxfId="86"/>
    <tableColumn id="7" xr3:uid="{6472B750-CAFA-4659-954E-0D7CDFEDAF8D}" uniqueName="7" name="Starters" queryTableFieldId="7" dataDxfId="34" totalsRowDxfId="85"/>
    <tableColumn id="8" xr3:uid="{A6F068C6-B31A-48FB-9A7F-3EBC74560F00}" uniqueName="8" name="Ave. FS" queryTableFieldId="8" dataDxfId="33" totalsRowDxfId="84"/>
    <tableColumn id="9" xr3:uid="{735FC37F-C20A-4FF8-9D0B-6409E6E960D6}" uniqueName="9" name="Fav. Win %" queryTableFieldId="9" dataDxfId="32" totalsRowDxfId="83" dataCellStyle="Percent" totalsRowCellStyle="Percent"/>
    <tableColumn id="10" xr3:uid="{BE932EB9-8F1A-4DC5-89BC-A34CE04F0B45}" uniqueName="10" name="HRNZ Funded Stakes" queryTableFieldId="10" dataDxfId="31" totalsRowDxfId="82"/>
    <tableColumn id="11" xr3:uid="{24F34BAF-F3E6-4280-9E85-DA9003991599}" uniqueName="11" name="Ave. Race Stake" queryTableFieldId="11" dataDxfId="30" totalsRowDxfId="81"/>
    <tableColumn id="12" xr3:uid="{4FF8BBC7-2C19-495B-93D5-55EF6A3CB032}" uniqueName="12" name="GBR/Stake%" queryTableFieldId="12" dataDxfId="29" totalsRowDxfId="80" dataCellStyle="Percent" totalsRowCellStyle="Percent"/>
    <tableColumn id="13" xr3:uid="{87F3198B-2F6F-4F7D-9D8E-31A1C217F570}" uniqueName="13" name="Late Start %" queryTableFieldId="13" dataDxfId="28" totalsRowDxfId="79" dataCellStyle="Percent" totalsRowCellStyle="Percent"/>
    <tableColumn id="14" xr3:uid="{C0E71842-6635-4508-9F04-54B6F1B1D614}" uniqueName="14" name="Turnover" queryTableFieldId="14" dataDxfId="27" totalsRowDxfId="78"/>
    <tableColumn id="15" xr3:uid="{67CBE4C1-72CF-4D04-AA51-749ABCF6DBBB}" uniqueName="15" name="GBR" queryTableFieldId="15" dataDxfId="26" totalsRowDxfId="77"/>
    <tableColumn id="16" xr3:uid="{C0F3665E-80A4-4CD0-AD3C-68AFEF1C07C8}" uniqueName="16" name="Funding" queryTableFieldId="16" dataDxfId="25" totalsRowDxfId="76"/>
    <tableColumn id="17" xr3:uid="{7E12EA9A-8485-4A14-AC19-9DDB6A1FC20D}" uniqueName="17" name="Export TO (AUD)" queryTableFieldId="17" dataDxfId="24" totalsRowDxfId="75"/>
    <tableColumn id="18" xr3:uid="{2BDB94B1-5401-4216-9472-367432BC6611}" uniqueName="18" name="GBR/TO%" queryTableFieldId="18" dataDxfId="23" totalsRowDxfId="74" dataCellStyle="Percent" totalsRowCellStyle="Percent"/>
    <tableColumn id="19" xr3:uid="{5BEEB3EB-B922-4CCA-BD52-0736011E32F3}" uniqueName="19" name="GBR/Funding%" queryTableFieldId="19" dataDxfId="22" totalsRowDxfId="73" dataCellStyle="Percent" totalsRowCellStyle="Percent"/>
    <tableColumn id="23" xr3:uid="{0E33540D-E2E1-47EA-AAA0-BA460E179A4C}" uniqueName="23" name="Turnover/Funding%" queryTableFieldId="24" dataDxfId="21" totalsRowDxfId="72" dataCellStyle="Percent" totalsRowCellStyle="Percent"/>
    <tableColumn id="2" xr3:uid="{26910BD9-293C-4827-8EB5-00479587934B}" uniqueName="2" name="Last Year Turnover" queryTableFieldId="20" dataDxfId="20" totalsRowDxfId="71" dataCellStyle="Percent" totalsRowCellStyle="Percent"/>
    <tableColumn id="20" xr3:uid="{29C94857-9797-44C0-9D19-5F8B497852F4}" uniqueName="20" name="Last Year GBR" queryTableFieldId="21" dataDxfId="19" totalsRowDxfId="70" dataCellStyle="Percent" totalsRowCellStyle="Percent"/>
    <tableColumn id="21" xr3:uid="{5DED8152-DE09-400A-827D-564EF2FCBA86}" uniqueName="21" name="Last Year GBR/TO%" queryTableFieldId="22" dataDxfId="18" totalsRowDxfId="69" dataCellStyle="Percent" totalsRowCellStyle="Percent"/>
    <tableColumn id="22" xr3:uid="{DEB2B479-B38A-4793-9AAC-A801C48A3C62}" uniqueName="22" name="GBR/TO% Diff to Last Year" queryTableFieldId="23" dataDxfId="17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9" tableType="queryTable" totalsRowShown="0" headerRowDxfId="67" dataDxfId="66">
  <autoFilter ref="A1:R9" xr:uid="{5FA43247-39D7-4B2A-AFC9-F68C37923AD2}"/>
  <sortState xmlns:xlrd2="http://schemas.microsoft.com/office/spreadsheetml/2017/richdata2" ref="A2:R9">
    <sortCondition descending="1" ref="R1:R9"/>
  </sortState>
  <tableColumns count="18">
    <tableColumn id="16" xr3:uid="{84FA02A7-59C6-4C88-B547-678AE6036BBE}" uniqueName="16" name="Racing Season" queryTableFieldId="16" dataDxfId="65"/>
    <tableColumn id="17" xr3:uid="{14D4F993-D007-4167-9D93-6CCCD6C99B67}" uniqueName="17" name="Club Name" queryTableFieldId="17" dataDxfId="64"/>
    <tableColumn id="18" xr3:uid="{40426622-692C-4EFC-B1A9-5CA2789AA835}" uniqueName="18" name="Races" queryTableFieldId="18" dataDxfId="63"/>
    <tableColumn id="19" xr3:uid="{CA79EC68-0190-45F3-814E-B728589F53C1}" uniqueName="19" name="Starters" queryTableFieldId="19" dataDxfId="62"/>
    <tableColumn id="20" xr3:uid="{C3462C5D-26B9-41C0-96EF-4267929F5E28}" uniqueName="20" name="Ave. FS" queryTableFieldId="20" dataDxfId="61"/>
    <tableColumn id="21" xr3:uid="{DD4596B2-0A52-4ADB-8146-825AD8D65525}" uniqueName="21" name="Fav. Win %" queryTableFieldId="21" dataDxfId="60" dataCellStyle="Percent"/>
    <tableColumn id="22" xr3:uid="{E882B0C9-AEA8-48CA-88FA-6A9B29C443EE}" uniqueName="22" name="HRNZ Funded Stakes" queryTableFieldId="22" dataDxfId="59"/>
    <tableColumn id="23" xr3:uid="{19B196F6-92F6-4839-9AF4-CB7E270C3B70}" uniqueName="23" name="Ave. Race Stake" queryTableFieldId="23" dataDxfId="58"/>
    <tableColumn id="24" xr3:uid="{6449B595-8CA5-4EE1-9AFA-826DB3503C58}" uniqueName="24" name="GBR/Stake%" queryTableFieldId="24" dataDxfId="57" dataCellStyle="Percent"/>
    <tableColumn id="25" xr3:uid="{5BCD5CB0-4520-49BC-9A63-77134EDD010C}" uniqueName="25" name="Late Start %" queryTableFieldId="25" dataDxfId="56" dataCellStyle="Percent"/>
    <tableColumn id="26" xr3:uid="{C0D6702E-606E-4489-95ED-A0C8A3413E36}" uniqueName="26" name="Turnover" queryTableFieldId="26" dataDxfId="55"/>
    <tableColumn id="27" xr3:uid="{A16AEFC2-E30F-43BB-9909-4AB8EA92E16B}" uniqueName="27" name="GBR" queryTableFieldId="27" dataDxfId="54"/>
    <tableColumn id="28" xr3:uid="{220F42A6-6454-4028-A5E3-18E3F7FD3571}" uniqueName="28" name="Funding" queryTableFieldId="28" dataDxfId="53"/>
    <tableColumn id="29" xr3:uid="{8CF6C49B-14B6-437D-972D-4A9A96E1B412}" uniqueName="29" name="Export TO (AUD)" queryTableFieldId="29" dataDxfId="52"/>
    <tableColumn id="30" xr3:uid="{85517A98-FA21-4C97-AA00-8BB10FFBC4D7}" uniqueName="30" name="GBR/TO%" queryTableFieldId="30" dataDxfId="51" dataCellStyle="Percent"/>
    <tableColumn id="34" xr3:uid="{CD094789-0844-4E1A-AD7F-807292039065}" uniqueName="34" name="GBR/Funding%" queryTableFieldId="34" dataDxfId="50" dataCellStyle="Percent"/>
    <tableColumn id="1" xr3:uid="{41B14C3D-115F-4977-AD46-20557DD4EE0C}" uniqueName="1" name="Turnover/Funding%" queryTableFieldId="35" dataDxfId="49" dataCellStyle="Percent"/>
    <tableColumn id="2" xr3:uid="{FFE7CB62-0CEE-462C-A38E-12773090A482}" uniqueName="2" name="Turnover Per Race" queryTableFieldId="36" dataDxfId="4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47" dataDxfId="46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45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44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tabSelected="1" workbookViewId="0">
      <selection activeCell="F4" sqref="F4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45209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46"/>
  <sheetViews>
    <sheetView workbookViewId="0">
      <pane ySplit="1" topLeftCell="A2" activePane="bottomLeft" state="frozen"/>
      <selection pane="bottomLeft" activeCell="C43" sqref="C43"/>
    </sheetView>
  </sheetViews>
  <sheetFormatPr defaultColWidth="9.109375" defaultRowHeight="14.4" x14ac:dyDescent="0.3"/>
  <cols>
    <col min="1" max="1" width="14.6640625" style="3" bestFit="1" customWidth="1"/>
    <col min="2" max="2" width="8.33203125" style="3" bestFit="1" customWidth="1"/>
    <col min="3" max="3" width="31.33203125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0.76800000000000002</v>
      </c>
      <c r="L2" s="4">
        <v>0.1</v>
      </c>
      <c r="M2" s="5">
        <v>730860</v>
      </c>
      <c r="N2" s="5">
        <v>118621</v>
      </c>
      <c r="O2" s="5">
        <v>154475</v>
      </c>
      <c r="P2" s="5">
        <v>348399</v>
      </c>
      <c r="Q2" s="4">
        <v>0.16200000000000001</v>
      </c>
      <c r="R2" s="4">
        <v>0.76800000000000002</v>
      </c>
      <c r="S2" s="18">
        <v>4.7309999999999999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157351</v>
      </c>
      <c r="O3" s="5">
        <v>118327.5</v>
      </c>
      <c r="P3" s="5">
        <v>271604</v>
      </c>
      <c r="Q3" s="4">
        <v>0.184</v>
      </c>
      <c r="R3" s="4">
        <v>1.33</v>
      </c>
      <c r="S3" s="18">
        <v>7.2320000000000002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63014</v>
      </c>
      <c r="O4" s="5">
        <v>78000</v>
      </c>
      <c r="P4" s="5">
        <v>147684</v>
      </c>
      <c r="Q4" s="4">
        <v>0.112</v>
      </c>
      <c r="R4" s="4">
        <v>0.80800000000000005</v>
      </c>
      <c r="S4" s="18">
        <v>7.2409999999999997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52774</v>
      </c>
      <c r="O5" s="5">
        <v>75825</v>
      </c>
      <c r="P5" s="5">
        <v>158909</v>
      </c>
      <c r="Q5" s="4">
        <v>0.14299999999999999</v>
      </c>
      <c r="R5" s="4">
        <v>0.69599999999999995</v>
      </c>
      <c r="S5" s="18">
        <v>4.8540000000000001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6857</v>
      </c>
      <c r="O6" s="5">
        <v>104867.5</v>
      </c>
      <c r="P6" s="5">
        <v>269201</v>
      </c>
      <c r="Q6" s="4">
        <v>1.2E-2</v>
      </c>
      <c r="R6" s="4">
        <v>6.5000000000000002E-2</v>
      </c>
      <c r="S6" s="18">
        <v>5.4080000000000004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0.70799999999999996</v>
      </c>
      <c r="L7" s="4">
        <v>0</v>
      </c>
      <c r="M7" s="5">
        <v>800305</v>
      </c>
      <c r="N7" s="5">
        <v>87403</v>
      </c>
      <c r="O7" s="5">
        <v>123432.5</v>
      </c>
      <c r="P7" s="5">
        <v>260712</v>
      </c>
      <c r="Q7" s="4">
        <v>0.109</v>
      </c>
      <c r="R7" s="4">
        <v>0.70799999999999996</v>
      </c>
      <c r="S7" s="18">
        <v>6.484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-4.0000000000000036E-3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2.2930000000000001</v>
      </c>
      <c r="L8" s="4">
        <v>0.25</v>
      </c>
      <c r="M8" s="5">
        <v>818411</v>
      </c>
      <c r="N8" s="5">
        <v>188674</v>
      </c>
      <c r="O8" s="5">
        <v>82265</v>
      </c>
      <c r="P8" s="5">
        <v>207416</v>
      </c>
      <c r="Q8" s="4">
        <v>0.23100000000000001</v>
      </c>
      <c r="R8" s="4">
        <v>2.2930000000000001</v>
      </c>
      <c r="S8" s="18">
        <v>9.9480000000000004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5.400000000000002E-2</v>
      </c>
    </row>
    <row r="9" spans="1:23" x14ac:dyDescent="0.3">
      <c r="A9" s="8">
        <v>45155</v>
      </c>
      <c r="B9" s="32" t="s">
        <v>31</v>
      </c>
      <c r="C9" s="32" t="s">
        <v>0</v>
      </c>
      <c r="D9" s="32" t="s">
        <v>26</v>
      </c>
      <c r="E9" s="3">
        <v>8</v>
      </c>
      <c r="F9" s="3">
        <v>72</v>
      </c>
      <c r="G9" s="3">
        <v>9</v>
      </c>
      <c r="H9" s="4">
        <v>0.25</v>
      </c>
      <c r="I9" s="5">
        <v>122262</v>
      </c>
      <c r="J9" s="5">
        <v>15283</v>
      </c>
      <c r="K9" s="4">
        <v>1.127</v>
      </c>
      <c r="L9" s="4">
        <v>0</v>
      </c>
      <c r="M9" s="5">
        <v>580961</v>
      </c>
      <c r="N9" s="5">
        <v>137766</v>
      </c>
      <c r="O9" s="5">
        <v>122262.5</v>
      </c>
      <c r="P9" s="5">
        <v>246745</v>
      </c>
      <c r="Q9" s="4">
        <v>0.23699999999999999</v>
      </c>
      <c r="R9" s="4">
        <v>1.127</v>
      </c>
      <c r="S9" s="18">
        <v>4.7519999999999998</v>
      </c>
      <c r="T9" s="10">
        <v>681156</v>
      </c>
      <c r="U9" s="10">
        <v>98043</v>
      </c>
      <c r="V9" s="11">
        <v>0.14399999999999999</v>
      </c>
      <c r="W9" s="12">
        <f>IF(raceday_22_23[[#This Row],[Last Year Turnover]]&lt;&gt;0, raceday_22_23[[#This Row],[GBR/TO%]]-raceday_22_23[[#This Row],[Last Year GBR/TO%]], 0)</f>
        <v>9.2999999999999999E-2</v>
      </c>
    </row>
    <row r="10" spans="1:23" x14ac:dyDescent="0.3">
      <c r="A10" s="8">
        <v>45156</v>
      </c>
      <c r="B10" s="32" t="s">
        <v>32</v>
      </c>
      <c r="C10" s="32" t="s">
        <v>1</v>
      </c>
      <c r="D10" s="32" t="s">
        <v>27</v>
      </c>
      <c r="E10" s="3">
        <v>9</v>
      </c>
      <c r="F10" s="3">
        <v>86</v>
      </c>
      <c r="G10" s="3">
        <v>9.6</v>
      </c>
      <c r="H10" s="4">
        <v>0.44400000000000001</v>
      </c>
      <c r="I10" s="5">
        <v>124630</v>
      </c>
      <c r="J10" s="5">
        <v>13848</v>
      </c>
      <c r="K10" s="4">
        <v>1.8080000000000001</v>
      </c>
      <c r="L10" s="4">
        <v>0</v>
      </c>
      <c r="M10" s="5">
        <v>869712</v>
      </c>
      <c r="N10" s="5">
        <v>225315</v>
      </c>
      <c r="O10" s="5">
        <v>124728.75</v>
      </c>
      <c r="P10" s="5">
        <v>328905</v>
      </c>
      <c r="Q10" s="4">
        <v>0.25900000000000001</v>
      </c>
      <c r="R10" s="4">
        <v>1.806</v>
      </c>
      <c r="S10" s="18">
        <v>6.9729999999999999</v>
      </c>
      <c r="T10" s="10">
        <v>949321</v>
      </c>
      <c r="U10" s="10">
        <v>249132</v>
      </c>
      <c r="V10" s="11">
        <v>0.26200000000000001</v>
      </c>
      <c r="W10" s="12">
        <f>IF(raceday_22_23[[#This Row],[Last Year Turnover]]&lt;&gt;0, raceday_22_23[[#This Row],[GBR/TO%]]-raceday_22_23[[#This Row],[Last Year GBR/TO%]], 0)</f>
        <v>-3.0000000000000027E-3</v>
      </c>
    </row>
    <row r="11" spans="1:23" x14ac:dyDescent="0.3">
      <c r="A11" s="8">
        <v>45158</v>
      </c>
      <c r="B11" s="32" t="s">
        <v>33</v>
      </c>
      <c r="C11" s="32" t="s">
        <v>79</v>
      </c>
      <c r="D11" s="32" t="s">
        <v>76</v>
      </c>
      <c r="E11" s="3">
        <v>10</v>
      </c>
      <c r="F11" s="3">
        <v>93</v>
      </c>
      <c r="G11" s="3">
        <v>9.3000000000000007</v>
      </c>
      <c r="H11" s="4">
        <v>0.2</v>
      </c>
      <c r="I11" s="5">
        <v>128402</v>
      </c>
      <c r="J11" s="5">
        <v>12840</v>
      </c>
      <c r="K11" s="4">
        <v>1.4730000000000001</v>
      </c>
      <c r="L11" s="4">
        <v>0.3</v>
      </c>
      <c r="M11" s="5">
        <v>905605</v>
      </c>
      <c r="N11" s="5">
        <v>189090</v>
      </c>
      <c r="O11" s="5">
        <v>128502.5</v>
      </c>
      <c r="P11" s="5">
        <v>185283</v>
      </c>
      <c r="Q11" s="4">
        <v>0.20899999999999999</v>
      </c>
      <c r="R11" s="4">
        <v>1.4710000000000001</v>
      </c>
      <c r="S11" s="18">
        <v>7.0469999999999997</v>
      </c>
      <c r="T11" s="10">
        <v>810606</v>
      </c>
      <c r="U11" s="10">
        <v>163869</v>
      </c>
      <c r="V11" s="11">
        <v>0.20200000000000001</v>
      </c>
      <c r="W11" s="12">
        <f>IF(raceday_22_23[[#This Row],[Last Year Turnover]]&lt;&gt;0, raceday_22_23[[#This Row],[GBR/TO%]]-raceday_22_23[[#This Row],[Last Year GBR/TO%]], 0)</f>
        <v>6.9999999999999785E-3</v>
      </c>
    </row>
    <row r="12" spans="1:23" x14ac:dyDescent="0.3">
      <c r="A12" s="8">
        <v>45162</v>
      </c>
      <c r="B12" s="32" t="s">
        <v>31</v>
      </c>
      <c r="C12" s="32" t="s">
        <v>80</v>
      </c>
      <c r="D12" s="32" t="s">
        <v>76</v>
      </c>
      <c r="E12" s="3">
        <v>9</v>
      </c>
      <c r="F12" s="3">
        <v>81</v>
      </c>
      <c r="G12" s="3">
        <v>9</v>
      </c>
      <c r="H12" s="4">
        <v>0.55600000000000005</v>
      </c>
      <c r="I12" s="5">
        <v>91820</v>
      </c>
      <c r="J12" s="5">
        <v>10202</v>
      </c>
      <c r="K12" s="4">
        <v>0.35299999999999998</v>
      </c>
      <c r="L12" s="4">
        <v>0.111</v>
      </c>
      <c r="M12" s="5">
        <v>421878</v>
      </c>
      <c r="N12" s="5">
        <v>32448</v>
      </c>
      <c r="O12" s="5">
        <v>91920</v>
      </c>
      <c r="P12" s="5">
        <v>228617</v>
      </c>
      <c r="Q12" s="4">
        <v>7.6999999999999999E-2</v>
      </c>
      <c r="R12" s="4">
        <v>0.35299999999999998</v>
      </c>
      <c r="S12" s="18">
        <v>4.59</v>
      </c>
      <c r="T12" s="10">
        <v>362711</v>
      </c>
      <c r="U12" s="10">
        <v>99826</v>
      </c>
      <c r="V12" s="11">
        <v>0.27500000000000002</v>
      </c>
      <c r="W12" s="12">
        <f>IF(raceday_22_23[[#This Row],[Last Year Turnover]]&lt;&gt;0, raceday_22_23[[#This Row],[GBR/TO%]]-raceday_22_23[[#This Row],[Last Year GBR/TO%]], 0)</f>
        <v>-0.19800000000000001</v>
      </c>
    </row>
    <row r="13" spans="1:23" x14ac:dyDescent="0.3">
      <c r="A13" s="8">
        <v>45162</v>
      </c>
      <c r="B13" s="32" t="s">
        <v>31</v>
      </c>
      <c r="C13" s="32" t="s">
        <v>77</v>
      </c>
      <c r="D13" s="32" t="s">
        <v>26</v>
      </c>
      <c r="E13" s="3">
        <v>9</v>
      </c>
      <c r="F13" s="3">
        <v>91</v>
      </c>
      <c r="G13" s="3">
        <v>10.1</v>
      </c>
      <c r="H13" s="4">
        <v>0.222</v>
      </c>
      <c r="I13" s="5">
        <v>105377</v>
      </c>
      <c r="J13" s="5">
        <v>11709</v>
      </c>
      <c r="K13" s="4">
        <v>1.621</v>
      </c>
      <c r="L13" s="4">
        <v>0.111</v>
      </c>
      <c r="M13" s="5">
        <v>632811</v>
      </c>
      <c r="N13" s="5">
        <v>170791</v>
      </c>
      <c r="O13" s="5">
        <v>105477.5</v>
      </c>
      <c r="P13" s="5">
        <v>317409</v>
      </c>
      <c r="Q13" s="4">
        <v>0.27</v>
      </c>
      <c r="R13" s="4">
        <v>1.619</v>
      </c>
      <c r="S13" s="18">
        <v>5.9989999999999997</v>
      </c>
      <c r="T13" s="10">
        <v>693731</v>
      </c>
      <c r="U13" s="10">
        <v>94514</v>
      </c>
      <c r="V13" s="11">
        <v>0.13600000000000001</v>
      </c>
      <c r="W13" s="12">
        <f>IF(raceday_22_23[[#This Row],[Last Year Turnover]]&lt;&gt;0, raceday_22_23[[#This Row],[GBR/TO%]]-raceday_22_23[[#This Row],[Last Year GBR/TO%]], 0)</f>
        <v>0.13400000000000001</v>
      </c>
    </row>
    <row r="14" spans="1:23" x14ac:dyDescent="0.3">
      <c r="A14" s="8">
        <v>45163</v>
      </c>
      <c r="B14" s="32" t="s">
        <v>32</v>
      </c>
      <c r="C14" s="32" t="s">
        <v>1</v>
      </c>
      <c r="D14" s="32" t="s">
        <v>27</v>
      </c>
      <c r="E14" s="3">
        <v>10</v>
      </c>
      <c r="F14" s="3">
        <v>89</v>
      </c>
      <c r="G14" s="3">
        <v>8.9</v>
      </c>
      <c r="H14" s="4">
        <v>0.6</v>
      </c>
      <c r="I14" s="5">
        <v>187955</v>
      </c>
      <c r="J14" s="5">
        <v>18596</v>
      </c>
      <c r="K14" s="4">
        <v>1.1759999999999999</v>
      </c>
      <c r="L14" s="4">
        <v>0.1</v>
      </c>
      <c r="M14" s="5">
        <v>945503</v>
      </c>
      <c r="N14" s="5">
        <v>221072</v>
      </c>
      <c r="O14" s="5">
        <v>185955</v>
      </c>
      <c r="P14" s="5">
        <v>383706</v>
      </c>
      <c r="Q14" s="4">
        <v>0.23400000000000001</v>
      </c>
      <c r="R14" s="4">
        <v>1.1890000000000001</v>
      </c>
      <c r="S14" s="18">
        <v>5.085</v>
      </c>
      <c r="T14" s="10">
        <v>920492</v>
      </c>
      <c r="U14" s="10">
        <v>212685</v>
      </c>
      <c r="V14" s="11">
        <v>0.23100000000000001</v>
      </c>
      <c r="W14" s="12">
        <f>IF(raceday_22_23[[#This Row],[Last Year Turnover]]&lt;&gt;0, raceday_22_23[[#This Row],[GBR/TO%]]-raceday_22_23[[#This Row],[Last Year GBR/TO%]], 0)</f>
        <v>3.0000000000000027E-3</v>
      </c>
    </row>
    <row r="15" spans="1:23" x14ac:dyDescent="0.3">
      <c r="A15" s="8">
        <v>45165</v>
      </c>
      <c r="B15" s="32" t="s">
        <v>33</v>
      </c>
      <c r="C15" s="32" t="s">
        <v>81</v>
      </c>
      <c r="D15" s="32" t="s">
        <v>27</v>
      </c>
      <c r="E15" s="3">
        <v>10</v>
      </c>
      <c r="F15" s="3">
        <v>115</v>
      </c>
      <c r="G15" s="3">
        <v>11.5</v>
      </c>
      <c r="H15" s="4">
        <v>0.3</v>
      </c>
      <c r="I15" s="5">
        <v>101248</v>
      </c>
      <c r="J15" s="5">
        <v>10125</v>
      </c>
      <c r="K15" s="4">
        <v>1.9179999999999999</v>
      </c>
      <c r="L15" s="4">
        <v>0.1</v>
      </c>
      <c r="M15" s="5">
        <v>786047</v>
      </c>
      <c r="N15" s="5">
        <v>194212</v>
      </c>
      <c r="O15" s="5">
        <v>101447.5</v>
      </c>
      <c r="P15" s="5">
        <v>180886</v>
      </c>
      <c r="Q15" s="4">
        <v>0.247</v>
      </c>
      <c r="R15" s="4">
        <v>1.9139999999999999</v>
      </c>
      <c r="S15" s="18">
        <v>7.7480000000000002</v>
      </c>
      <c r="T15" s="10">
        <v>769732</v>
      </c>
      <c r="U15" s="10">
        <v>171069</v>
      </c>
      <c r="V15" s="11">
        <v>0.222</v>
      </c>
      <c r="W15" s="12">
        <f>IF(raceday_22_23[[#This Row],[Last Year Turnover]]&lt;&gt;0, raceday_22_23[[#This Row],[GBR/TO%]]-raceday_22_23[[#This Row],[Last Year GBR/TO%]], 0)</f>
        <v>2.4999999999999994E-2</v>
      </c>
    </row>
    <row r="16" spans="1:23" x14ac:dyDescent="0.3">
      <c r="A16" s="8">
        <v>45169</v>
      </c>
      <c r="B16" s="32" t="s">
        <v>31</v>
      </c>
      <c r="C16" s="32" t="s">
        <v>0</v>
      </c>
      <c r="D16" s="32" t="s">
        <v>26</v>
      </c>
      <c r="E16" s="3">
        <v>10</v>
      </c>
      <c r="F16" s="3">
        <v>95</v>
      </c>
      <c r="G16" s="3">
        <v>9.5</v>
      </c>
      <c r="H16" s="4">
        <v>0</v>
      </c>
      <c r="I16" s="5">
        <v>165218</v>
      </c>
      <c r="J16" s="5">
        <v>15772</v>
      </c>
      <c r="K16" s="4">
        <v>1.3839999999999999</v>
      </c>
      <c r="L16" s="4">
        <v>0.1</v>
      </c>
      <c r="M16" s="5">
        <v>745478</v>
      </c>
      <c r="N16" s="5">
        <v>228722</v>
      </c>
      <c r="O16" s="5">
        <v>157817.5</v>
      </c>
      <c r="P16" s="5">
        <v>358129</v>
      </c>
      <c r="Q16" s="4">
        <v>0.307</v>
      </c>
      <c r="R16" s="4">
        <v>1.4490000000000001</v>
      </c>
      <c r="S16" s="18">
        <v>4.7240000000000002</v>
      </c>
      <c r="T16" s="10">
        <v>779042</v>
      </c>
      <c r="U16" s="10">
        <v>105846</v>
      </c>
      <c r="V16" s="11">
        <v>0.13600000000000001</v>
      </c>
      <c r="W16" s="12">
        <f>IF(raceday_22_23[[#This Row],[Last Year Turnover]]&lt;&gt;0, raceday_22_23[[#This Row],[GBR/TO%]]-raceday_22_23[[#This Row],[Last Year GBR/TO%]], 0)</f>
        <v>0.17099999999999999</v>
      </c>
    </row>
    <row r="17" spans="1:23" x14ac:dyDescent="0.3">
      <c r="A17" s="8">
        <v>45170</v>
      </c>
      <c r="B17" s="32" t="s">
        <v>32</v>
      </c>
      <c r="C17" s="32" t="s">
        <v>75</v>
      </c>
      <c r="D17" s="32" t="s">
        <v>76</v>
      </c>
      <c r="E17" s="3">
        <v>7</v>
      </c>
      <c r="F17" s="3">
        <v>64</v>
      </c>
      <c r="G17" s="3">
        <v>9.1</v>
      </c>
      <c r="H17" s="4">
        <v>0.71399999999999997</v>
      </c>
      <c r="I17" s="5">
        <v>74150</v>
      </c>
      <c r="J17" s="5">
        <v>10593</v>
      </c>
      <c r="K17" s="4">
        <v>0.499</v>
      </c>
      <c r="L17" s="4">
        <v>0.28599999999999998</v>
      </c>
      <c r="M17" s="5">
        <v>411996</v>
      </c>
      <c r="N17" s="5">
        <v>37010</v>
      </c>
      <c r="O17" s="5">
        <v>74150</v>
      </c>
      <c r="P17" s="5">
        <v>215384</v>
      </c>
      <c r="Q17" s="4">
        <v>0.09</v>
      </c>
      <c r="R17" s="4">
        <v>0.499</v>
      </c>
      <c r="S17" s="18">
        <v>5.556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</row>
    <row r="18" spans="1:23" x14ac:dyDescent="0.3">
      <c r="A18" s="8">
        <v>45170</v>
      </c>
      <c r="B18" s="32" t="s">
        <v>32</v>
      </c>
      <c r="C18" s="32" t="s">
        <v>1</v>
      </c>
      <c r="D18" s="32" t="s">
        <v>27</v>
      </c>
      <c r="E18" s="3">
        <v>10</v>
      </c>
      <c r="F18" s="3">
        <v>98</v>
      </c>
      <c r="G18" s="3">
        <v>9.8000000000000007</v>
      </c>
      <c r="H18" s="4">
        <v>0.3</v>
      </c>
      <c r="I18" s="5">
        <v>155716</v>
      </c>
      <c r="J18" s="5">
        <v>15572</v>
      </c>
      <c r="K18" s="4">
        <v>1.704</v>
      </c>
      <c r="L18" s="4">
        <v>0.1</v>
      </c>
      <c r="M18" s="5">
        <v>1022956</v>
      </c>
      <c r="N18" s="5">
        <v>265330</v>
      </c>
      <c r="O18" s="5">
        <v>155817.5</v>
      </c>
      <c r="P18" s="5">
        <v>341123</v>
      </c>
      <c r="Q18" s="4">
        <v>0.25900000000000001</v>
      </c>
      <c r="R18" s="4">
        <v>1.7030000000000001</v>
      </c>
      <c r="S18" s="18">
        <v>6.5650000000000004</v>
      </c>
      <c r="T18" s="10">
        <v>753332</v>
      </c>
      <c r="U18" s="10">
        <v>145770</v>
      </c>
      <c r="V18" s="11">
        <v>0.19400000000000001</v>
      </c>
      <c r="W18" s="12">
        <f>IF(raceday_22_23[[#This Row],[Last Year Turnover]]&lt;&gt;0, raceday_22_23[[#This Row],[GBR/TO%]]-raceday_22_23[[#This Row],[Last Year GBR/TO%]], 0)</f>
        <v>6.5000000000000002E-2</v>
      </c>
    </row>
    <row r="19" spans="1:23" x14ac:dyDescent="0.3">
      <c r="A19" s="8">
        <v>45172</v>
      </c>
      <c r="B19" s="32" t="s">
        <v>33</v>
      </c>
      <c r="C19" s="32" t="s">
        <v>78</v>
      </c>
      <c r="D19" s="32" t="s">
        <v>27</v>
      </c>
      <c r="E19" s="3">
        <v>10</v>
      </c>
      <c r="F19" s="3">
        <v>101</v>
      </c>
      <c r="G19" s="3">
        <v>10.1</v>
      </c>
      <c r="H19" s="4">
        <v>0.4</v>
      </c>
      <c r="I19" s="5">
        <v>99466</v>
      </c>
      <c r="J19" s="5">
        <v>9947</v>
      </c>
      <c r="K19" s="4">
        <v>1.6160000000000001</v>
      </c>
      <c r="L19" s="4">
        <v>0.1</v>
      </c>
      <c r="M19" s="5">
        <v>786759</v>
      </c>
      <c r="N19" s="5">
        <v>160700</v>
      </c>
      <c r="O19" s="5">
        <v>99465</v>
      </c>
      <c r="P19" s="5">
        <v>153938</v>
      </c>
      <c r="Q19" s="4">
        <v>0.20399999999999999</v>
      </c>
      <c r="R19" s="4">
        <v>1.6160000000000001</v>
      </c>
      <c r="S19" s="18">
        <v>7.91</v>
      </c>
      <c r="T19" s="10">
        <v>804009</v>
      </c>
      <c r="U19" s="10">
        <v>150695</v>
      </c>
      <c r="V19" s="11">
        <v>0.187</v>
      </c>
      <c r="W19" s="12">
        <f>IF(raceday_22_23[[#This Row],[Last Year Turnover]]&lt;&gt;0, raceday_22_23[[#This Row],[GBR/TO%]]-raceday_22_23[[#This Row],[Last Year GBR/TO%]], 0)</f>
        <v>1.6999999999999987E-2</v>
      </c>
    </row>
    <row r="20" spans="1:23" x14ac:dyDescent="0.3">
      <c r="A20" s="8">
        <v>45176</v>
      </c>
      <c r="B20" s="32" t="s">
        <v>31</v>
      </c>
      <c r="C20" s="32" t="s">
        <v>82</v>
      </c>
      <c r="D20" s="32" t="s">
        <v>76</v>
      </c>
      <c r="E20" s="3">
        <v>9</v>
      </c>
      <c r="F20" s="3">
        <v>83</v>
      </c>
      <c r="G20" s="3">
        <v>9.1999999999999993</v>
      </c>
      <c r="H20" s="4">
        <v>0.33300000000000002</v>
      </c>
      <c r="I20" s="5">
        <v>100435</v>
      </c>
      <c r="J20" s="5">
        <v>11159</v>
      </c>
      <c r="K20" s="4">
        <v>0.99399999999999999</v>
      </c>
      <c r="L20" s="4">
        <v>0.111</v>
      </c>
      <c r="M20" s="5">
        <v>467922</v>
      </c>
      <c r="N20" s="5">
        <v>99849</v>
      </c>
      <c r="O20" s="5">
        <v>100435</v>
      </c>
      <c r="P20" s="5">
        <v>218120</v>
      </c>
      <c r="Q20" s="4">
        <v>0.21299999999999999</v>
      </c>
      <c r="R20" s="4">
        <v>0.99399999999999999</v>
      </c>
      <c r="S20" s="18">
        <v>4.6589999999999998</v>
      </c>
      <c r="T20" s="10">
        <v>507869</v>
      </c>
      <c r="U20" s="10">
        <v>132311</v>
      </c>
      <c r="V20" s="11">
        <v>0.26100000000000001</v>
      </c>
      <c r="W20" s="12">
        <f>IF(raceday_22_23[[#This Row],[Last Year Turnover]]&lt;&gt;0, raceday_22_23[[#This Row],[GBR/TO%]]-raceday_22_23[[#This Row],[Last Year GBR/TO%]], 0)</f>
        <v>-4.8000000000000015E-2</v>
      </c>
    </row>
    <row r="21" spans="1:23" x14ac:dyDescent="0.3">
      <c r="A21" s="8">
        <v>45176</v>
      </c>
      <c r="B21" s="32" t="s">
        <v>31</v>
      </c>
      <c r="C21" s="32" t="s">
        <v>77</v>
      </c>
      <c r="D21" s="32" t="s">
        <v>26</v>
      </c>
      <c r="E21" s="3">
        <v>10</v>
      </c>
      <c r="F21" s="3">
        <v>101</v>
      </c>
      <c r="G21" s="3">
        <v>10.1</v>
      </c>
      <c r="H21" s="4">
        <v>0.3</v>
      </c>
      <c r="I21" s="5">
        <v>140100</v>
      </c>
      <c r="J21" s="5">
        <v>11885</v>
      </c>
      <c r="K21" s="4">
        <v>1.5389999999999999</v>
      </c>
      <c r="L21" s="4">
        <v>0.1</v>
      </c>
      <c r="M21" s="5">
        <v>620857</v>
      </c>
      <c r="N21" s="5">
        <v>215654</v>
      </c>
      <c r="O21" s="5">
        <v>118950</v>
      </c>
      <c r="P21" s="5">
        <v>290678</v>
      </c>
      <c r="Q21" s="4">
        <v>0.34699999999999998</v>
      </c>
      <c r="R21" s="4">
        <v>1.8129999999999999</v>
      </c>
      <c r="S21" s="18">
        <v>5.2190000000000003</v>
      </c>
      <c r="T21" s="10">
        <v>703954</v>
      </c>
      <c r="U21" s="10">
        <v>119458</v>
      </c>
      <c r="V21" s="11">
        <v>0.17</v>
      </c>
      <c r="W21" s="12">
        <f>IF(raceday_22_23[[#This Row],[Last Year Turnover]]&lt;&gt;0, raceday_22_23[[#This Row],[GBR/TO%]]-raceday_22_23[[#This Row],[Last Year GBR/TO%]], 0)</f>
        <v>0.17699999999999996</v>
      </c>
    </row>
    <row r="22" spans="1:23" x14ac:dyDescent="0.3">
      <c r="A22" s="8">
        <v>45177</v>
      </c>
      <c r="B22" s="32" t="s">
        <v>32</v>
      </c>
      <c r="C22" s="32" t="s">
        <v>1</v>
      </c>
      <c r="D22" s="32" t="s">
        <v>27</v>
      </c>
      <c r="E22" s="3">
        <v>10</v>
      </c>
      <c r="F22" s="3">
        <v>111</v>
      </c>
      <c r="G22" s="3">
        <v>11.1</v>
      </c>
      <c r="H22" s="4">
        <v>0.4</v>
      </c>
      <c r="I22" s="5">
        <v>208781</v>
      </c>
      <c r="J22" s="5">
        <v>20578</v>
      </c>
      <c r="K22" s="4">
        <v>1.2849999999999999</v>
      </c>
      <c r="L22" s="4">
        <v>0.3</v>
      </c>
      <c r="M22" s="5">
        <v>1086914</v>
      </c>
      <c r="N22" s="5">
        <v>268190</v>
      </c>
      <c r="O22" s="5">
        <v>205880</v>
      </c>
      <c r="P22" s="5">
        <v>507087</v>
      </c>
      <c r="Q22" s="4">
        <v>0.247</v>
      </c>
      <c r="R22" s="4">
        <v>1.3029999999999999</v>
      </c>
      <c r="S22" s="18">
        <v>5.2789999999999999</v>
      </c>
      <c r="T22" s="10">
        <v>1159690</v>
      </c>
      <c r="U22" s="10">
        <v>184183</v>
      </c>
      <c r="V22" s="11">
        <v>0.159</v>
      </c>
      <c r="W22" s="12">
        <f>IF(raceday_22_23[[#This Row],[Last Year Turnover]]&lt;&gt;0, raceday_22_23[[#This Row],[GBR/TO%]]-raceday_22_23[[#This Row],[Last Year GBR/TO%]], 0)</f>
        <v>8.7999999999999995E-2</v>
      </c>
    </row>
    <row r="23" spans="1:23" x14ac:dyDescent="0.3">
      <c r="A23" s="8">
        <v>45179</v>
      </c>
      <c r="B23" s="32" t="s">
        <v>33</v>
      </c>
      <c r="C23" s="32" t="s">
        <v>83</v>
      </c>
      <c r="D23" s="32" t="s">
        <v>27</v>
      </c>
      <c r="E23" s="3">
        <v>11</v>
      </c>
      <c r="F23" s="3">
        <v>142</v>
      </c>
      <c r="G23" s="3">
        <v>12.9</v>
      </c>
      <c r="H23" s="4">
        <v>0.27300000000000002</v>
      </c>
      <c r="I23" s="5">
        <v>122925</v>
      </c>
      <c r="J23" s="5">
        <v>11175</v>
      </c>
      <c r="K23" s="4">
        <v>1.96</v>
      </c>
      <c r="L23" s="4">
        <v>0.182</v>
      </c>
      <c r="M23" s="5">
        <v>1045105</v>
      </c>
      <c r="N23" s="5">
        <v>240957</v>
      </c>
      <c r="O23" s="5">
        <v>123025</v>
      </c>
      <c r="P23" s="5">
        <v>291190</v>
      </c>
      <c r="Q23" s="4">
        <v>0.23100000000000001</v>
      </c>
      <c r="R23" s="4">
        <v>1.9590000000000001</v>
      </c>
      <c r="S23" s="18">
        <v>8.4949999999999992</v>
      </c>
      <c r="T23" s="10">
        <v>897151</v>
      </c>
      <c r="U23" s="10">
        <v>252836</v>
      </c>
      <c r="V23" s="11">
        <v>0.28199999999999997</v>
      </c>
      <c r="W23" s="12">
        <f>IF(raceday_22_23[[#This Row],[Last Year Turnover]]&lt;&gt;0, raceday_22_23[[#This Row],[GBR/TO%]]-raceday_22_23[[#This Row],[Last Year GBR/TO%]], 0)</f>
        <v>-5.0999999999999962E-2</v>
      </c>
    </row>
    <row r="24" spans="1:23" x14ac:dyDescent="0.3">
      <c r="A24" s="8">
        <v>45183</v>
      </c>
      <c r="B24" s="32" t="s">
        <v>31</v>
      </c>
      <c r="C24" s="32" t="s">
        <v>0</v>
      </c>
      <c r="D24" s="32" t="s">
        <v>26</v>
      </c>
      <c r="E24" s="3">
        <v>10</v>
      </c>
      <c r="F24" s="3">
        <v>83</v>
      </c>
      <c r="G24" s="3">
        <v>8.3000000000000007</v>
      </c>
      <c r="H24" s="4">
        <v>0.1</v>
      </c>
      <c r="I24" s="5">
        <v>163361</v>
      </c>
      <c r="J24" s="5">
        <v>15711</v>
      </c>
      <c r="K24" s="4">
        <v>0.95499999999999996</v>
      </c>
      <c r="L24" s="4">
        <v>0</v>
      </c>
      <c r="M24" s="5">
        <v>661998</v>
      </c>
      <c r="N24" s="5">
        <v>156085</v>
      </c>
      <c r="O24" s="5">
        <v>157112.5</v>
      </c>
      <c r="P24" s="5">
        <v>341321</v>
      </c>
      <c r="Q24" s="4">
        <v>0.23599999999999999</v>
      </c>
      <c r="R24" s="4">
        <v>0.99299999999999999</v>
      </c>
      <c r="S24" s="18">
        <v>4.2140000000000004</v>
      </c>
      <c r="T24" s="10">
        <v>753137</v>
      </c>
      <c r="U24" s="10">
        <v>53653</v>
      </c>
      <c r="V24" s="11">
        <v>7.0999999999999994E-2</v>
      </c>
      <c r="W24" s="12">
        <f>IF(raceday_22_23[[#This Row],[Last Year Turnover]]&lt;&gt;0, raceday_22_23[[#This Row],[GBR/TO%]]-raceday_22_23[[#This Row],[Last Year GBR/TO%]], 0)</f>
        <v>0.16499999999999998</v>
      </c>
    </row>
    <row r="25" spans="1:23" x14ac:dyDescent="0.3">
      <c r="A25" s="8">
        <v>45184</v>
      </c>
      <c r="B25" s="32" t="s">
        <v>32</v>
      </c>
      <c r="C25" s="32" t="s">
        <v>84</v>
      </c>
      <c r="D25" s="32" t="s">
        <v>76</v>
      </c>
      <c r="E25" s="3">
        <v>8</v>
      </c>
      <c r="F25" s="3">
        <v>58</v>
      </c>
      <c r="G25" s="3">
        <v>7.2</v>
      </c>
      <c r="H25" s="4">
        <v>0.375</v>
      </c>
      <c r="I25" s="5">
        <v>80598</v>
      </c>
      <c r="J25" s="5">
        <v>10075</v>
      </c>
      <c r="K25" s="4">
        <v>0.71899999999999997</v>
      </c>
      <c r="L25" s="4">
        <v>0</v>
      </c>
      <c r="M25" s="5">
        <v>338213</v>
      </c>
      <c r="N25" s="5">
        <v>57920</v>
      </c>
      <c r="O25" s="5">
        <v>80697.5</v>
      </c>
      <c r="P25" s="5">
        <v>181078</v>
      </c>
      <c r="Q25" s="4">
        <v>0.17100000000000001</v>
      </c>
      <c r="R25" s="4">
        <v>0.71799999999999997</v>
      </c>
      <c r="S25" s="18">
        <v>4.1909999999999998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</row>
    <row r="26" spans="1:23" x14ac:dyDescent="0.3">
      <c r="A26" s="8">
        <v>45184</v>
      </c>
      <c r="B26" s="32" t="s">
        <v>32</v>
      </c>
      <c r="C26" s="32" t="s">
        <v>1</v>
      </c>
      <c r="D26" s="32" t="s">
        <v>27</v>
      </c>
      <c r="E26" s="3">
        <v>10</v>
      </c>
      <c r="F26" s="3">
        <v>87</v>
      </c>
      <c r="G26" s="3">
        <v>8.6999999999999993</v>
      </c>
      <c r="H26" s="4">
        <v>0.4</v>
      </c>
      <c r="I26" s="5">
        <v>182215</v>
      </c>
      <c r="J26" s="5">
        <v>16922</v>
      </c>
      <c r="K26" s="4">
        <v>1.3260000000000001</v>
      </c>
      <c r="L26" s="4">
        <v>0.3</v>
      </c>
      <c r="M26" s="5">
        <v>899965</v>
      </c>
      <c r="N26" s="5">
        <v>241531</v>
      </c>
      <c r="O26" s="5">
        <v>169515</v>
      </c>
      <c r="P26" s="5">
        <v>376334</v>
      </c>
      <c r="Q26" s="4">
        <v>0.26800000000000002</v>
      </c>
      <c r="R26" s="4">
        <v>1.425</v>
      </c>
      <c r="S26" s="18">
        <v>5.3090000000000002</v>
      </c>
      <c r="T26" s="10">
        <v>896119</v>
      </c>
      <c r="U26" s="10">
        <v>109741</v>
      </c>
      <c r="V26" s="11">
        <v>0.122</v>
      </c>
      <c r="W26" s="12">
        <f>IF(raceday_22_23[[#This Row],[Last Year Turnover]]&lt;&gt;0, raceday_22_23[[#This Row],[GBR/TO%]]-raceday_22_23[[#This Row],[Last Year GBR/TO%]], 0)</f>
        <v>0.14600000000000002</v>
      </c>
    </row>
    <row r="27" spans="1:23" x14ac:dyDescent="0.3">
      <c r="A27" s="8">
        <v>45186</v>
      </c>
      <c r="B27" s="32" t="s">
        <v>33</v>
      </c>
      <c r="C27" s="32" t="s">
        <v>85</v>
      </c>
      <c r="D27" s="32" t="s">
        <v>76</v>
      </c>
      <c r="E27" s="3">
        <v>10</v>
      </c>
      <c r="F27" s="3">
        <v>93</v>
      </c>
      <c r="G27" s="3">
        <v>9.3000000000000007</v>
      </c>
      <c r="H27" s="4">
        <v>0.4</v>
      </c>
      <c r="I27" s="5">
        <v>193060</v>
      </c>
      <c r="J27" s="5">
        <v>18306</v>
      </c>
      <c r="K27" s="4">
        <v>0.84499999999999997</v>
      </c>
      <c r="L27" s="4">
        <v>0.4</v>
      </c>
      <c r="M27" s="5">
        <v>918411</v>
      </c>
      <c r="N27" s="5">
        <v>163128</v>
      </c>
      <c r="O27" s="5">
        <v>183060</v>
      </c>
      <c r="P27" s="5">
        <v>248397</v>
      </c>
      <c r="Q27" s="4">
        <v>0.17799999999999999</v>
      </c>
      <c r="R27" s="4">
        <v>0.89100000000000001</v>
      </c>
      <c r="S27" s="18">
        <v>5.0170000000000003</v>
      </c>
      <c r="T27" s="10">
        <v>908947</v>
      </c>
      <c r="U27" s="10">
        <v>104229</v>
      </c>
      <c r="V27" s="11">
        <v>0.115</v>
      </c>
      <c r="W27" s="12">
        <f>IF(raceday_22_23[[#This Row],[Last Year Turnover]]&lt;&gt;0, raceday_22_23[[#This Row],[GBR/TO%]]-raceday_22_23[[#This Row],[Last Year GBR/TO%]], 0)</f>
        <v>6.2999999999999987E-2</v>
      </c>
    </row>
    <row r="28" spans="1:23" x14ac:dyDescent="0.3">
      <c r="A28" s="8">
        <v>45190</v>
      </c>
      <c r="B28" s="32" t="s">
        <v>31</v>
      </c>
      <c r="C28" s="32" t="s">
        <v>1</v>
      </c>
      <c r="D28" s="32" t="s">
        <v>27</v>
      </c>
      <c r="E28" s="3">
        <v>10</v>
      </c>
      <c r="F28" s="3">
        <v>105</v>
      </c>
      <c r="G28" s="3">
        <v>10.5</v>
      </c>
      <c r="H28" s="4">
        <v>0.2</v>
      </c>
      <c r="I28" s="5">
        <v>197597</v>
      </c>
      <c r="J28" s="5">
        <v>18235</v>
      </c>
      <c r="K28" s="4">
        <v>1.171</v>
      </c>
      <c r="L28" s="4">
        <v>0.3</v>
      </c>
      <c r="M28" s="5">
        <v>972292</v>
      </c>
      <c r="N28" s="5">
        <v>231426</v>
      </c>
      <c r="O28" s="5">
        <v>182347.5</v>
      </c>
      <c r="P28" s="5">
        <v>414848</v>
      </c>
      <c r="Q28" s="4">
        <v>0.23799999999999999</v>
      </c>
      <c r="R28" s="4">
        <v>1.2689999999999999</v>
      </c>
      <c r="S28" s="18">
        <v>5.3319999999999999</v>
      </c>
      <c r="T28" s="10">
        <v>1118858</v>
      </c>
      <c r="U28" s="10">
        <v>316899</v>
      </c>
      <c r="V28" s="11">
        <v>0.28299999999999997</v>
      </c>
      <c r="W28" s="12">
        <f>IF(raceday_22_23[[#This Row],[Last Year Turnover]]&lt;&gt;0, raceday_22_23[[#This Row],[GBR/TO%]]-raceday_22_23[[#This Row],[Last Year GBR/TO%]], 0)</f>
        <v>-4.4999999999999984E-2</v>
      </c>
    </row>
    <row r="29" spans="1:23" x14ac:dyDescent="0.3">
      <c r="A29" s="8">
        <v>45191</v>
      </c>
      <c r="B29" s="32" t="s">
        <v>32</v>
      </c>
      <c r="C29" s="32" t="s">
        <v>0</v>
      </c>
      <c r="D29" s="32" t="s">
        <v>26</v>
      </c>
      <c r="E29" s="3">
        <v>10</v>
      </c>
      <c r="F29" s="3">
        <v>92</v>
      </c>
      <c r="G29" s="3">
        <v>9.1999999999999993</v>
      </c>
      <c r="H29" s="4">
        <v>0.5</v>
      </c>
      <c r="I29" s="5">
        <v>266138</v>
      </c>
      <c r="J29" s="5">
        <v>25014</v>
      </c>
      <c r="K29" s="4">
        <v>0.72899999999999998</v>
      </c>
      <c r="L29" s="4">
        <v>0.1</v>
      </c>
      <c r="M29" s="5">
        <v>904924</v>
      </c>
      <c r="N29" s="5">
        <v>193882</v>
      </c>
      <c r="O29" s="5">
        <v>250132.5</v>
      </c>
      <c r="P29" s="5">
        <v>375638</v>
      </c>
      <c r="Q29" s="4">
        <v>0.214</v>
      </c>
      <c r="R29" s="4">
        <v>0.77500000000000002</v>
      </c>
      <c r="S29" s="18">
        <v>3.6179999999999999</v>
      </c>
      <c r="T29" s="10">
        <v>919717</v>
      </c>
      <c r="U29" s="10">
        <v>102224</v>
      </c>
      <c r="V29" s="11">
        <v>0.111</v>
      </c>
      <c r="W29" s="12">
        <f>IF(raceday_22_23[[#This Row],[Last Year Turnover]]&lt;&gt;0, raceday_22_23[[#This Row],[GBR/TO%]]-raceday_22_23[[#This Row],[Last Year GBR/TO%]], 0)</f>
        <v>0.10299999999999999</v>
      </c>
    </row>
    <row r="30" spans="1:23" x14ac:dyDescent="0.3">
      <c r="A30" s="8">
        <v>45192</v>
      </c>
      <c r="B30" s="32" t="s">
        <v>86</v>
      </c>
      <c r="C30" s="32" t="s">
        <v>75</v>
      </c>
      <c r="D30" s="32" t="s">
        <v>76</v>
      </c>
      <c r="E30" s="3">
        <v>10</v>
      </c>
      <c r="F30" s="3">
        <v>80</v>
      </c>
      <c r="G30" s="3">
        <v>8</v>
      </c>
      <c r="H30" s="4">
        <v>0.4</v>
      </c>
      <c r="I30" s="5">
        <v>105846</v>
      </c>
      <c r="J30" s="5">
        <v>10585</v>
      </c>
      <c r="K30" s="4">
        <v>1.0640000000000001</v>
      </c>
      <c r="L30" s="4">
        <v>0</v>
      </c>
      <c r="M30" s="5">
        <v>527184</v>
      </c>
      <c r="N30" s="5">
        <v>112650</v>
      </c>
      <c r="O30" s="5">
        <v>105845</v>
      </c>
      <c r="P30" s="5">
        <v>163275</v>
      </c>
      <c r="Q30" s="4">
        <v>0.214</v>
      </c>
      <c r="R30" s="4">
        <v>1.0640000000000001</v>
      </c>
      <c r="S30" s="18">
        <v>4.9809999999999999</v>
      </c>
      <c r="T30" s="10">
        <v>558152</v>
      </c>
      <c r="U30" s="10">
        <v>86803</v>
      </c>
      <c r="V30" s="11">
        <v>0.156</v>
      </c>
      <c r="W30" s="12">
        <f>IF(raceday_22_23[[#This Row],[Last Year Turnover]]&lt;&gt;0, raceday_22_23[[#This Row],[GBR/TO%]]-raceday_22_23[[#This Row],[Last Year GBR/TO%]], 0)</f>
        <v>5.7999999999999996E-2</v>
      </c>
    </row>
    <row r="31" spans="1:23" x14ac:dyDescent="0.3">
      <c r="A31" s="8">
        <v>45193</v>
      </c>
      <c r="B31" s="32" t="s">
        <v>33</v>
      </c>
      <c r="C31" s="32" t="s">
        <v>87</v>
      </c>
      <c r="D31" s="32" t="s">
        <v>27</v>
      </c>
      <c r="E31" s="3">
        <v>12</v>
      </c>
      <c r="F31" s="3">
        <v>158</v>
      </c>
      <c r="G31" s="3">
        <v>13.2</v>
      </c>
      <c r="H31" s="4">
        <v>0.33300000000000002</v>
      </c>
      <c r="I31" s="5">
        <v>166750</v>
      </c>
      <c r="J31" s="5">
        <v>13896</v>
      </c>
      <c r="K31" s="4">
        <v>1.3560000000000001</v>
      </c>
      <c r="L31" s="4">
        <v>0.66700000000000004</v>
      </c>
      <c r="M31" s="5">
        <v>1204455</v>
      </c>
      <c r="N31" s="5">
        <v>226114</v>
      </c>
      <c r="O31" s="5">
        <v>167350</v>
      </c>
      <c r="P31" s="5">
        <v>279541</v>
      </c>
      <c r="Q31" s="4">
        <v>0.188</v>
      </c>
      <c r="R31" s="4">
        <v>1.351</v>
      </c>
      <c r="S31" s="18">
        <v>7.1970000000000001</v>
      </c>
      <c r="T31" s="10">
        <v>1106313</v>
      </c>
      <c r="U31" s="10">
        <v>202678</v>
      </c>
      <c r="V31" s="11">
        <v>0.183</v>
      </c>
      <c r="W31" s="12">
        <f>IF(raceday_22_23[[#This Row],[Last Year Turnover]]&lt;&gt;0, raceday_22_23[[#This Row],[GBR/TO%]]-raceday_22_23[[#This Row],[Last Year GBR/TO%]], 0)</f>
        <v>5.0000000000000044E-3</v>
      </c>
    </row>
    <row r="32" spans="1:23" x14ac:dyDescent="0.3">
      <c r="A32" s="8">
        <v>45197</v>
      </c>
      <c r="B32" s="32" t="s">
        <v>31</v>
      </c>
      <c r="C32" s="32" t="s">
        <v>80</v>
      </c>
      <c r="D32" s="32" t="s">
        <v>76</v>
      </c>
      <c r="E32" s="3">
        <v>10</v>
      </c>
      <c r="F32" s="3">
        <v>96</v>
      </c>
      <c r="G32" s="3">
        <v>9.6</v>
      </c>
      <c r="H32" s="4">
        <v>0.4</v>
      </c>
      <c r="I32" s="5">
        <v>116172</v>
      </c>
      <c r="J32" s="5">
        <v>11617</v>
      </c>
      <c r="K32" s="4">
        <v>1.0189999999999999</v>
      </c>
      <c r="L32" s="4">
        <v>0.1</v>
      </c>
      <c r="M32" s="5">
        <v>617146</v>
      </c>
      <c r="N32" s="5">
        <v>118432</v>
      </c>
      <c r="O32" s="5">
        <v>116272.5</v>
      </c>
      <c r="P32" s="5">
        <v>326144</v>
      </c>
      <c r="Q32" s="4">
        <v>0.192</v>
      </c>
      <c r="R32" s="4">
        <v>1.0189999999999999</v>
      </c>
      <c r="S32" s="18">
        <v>5.3079999999999998</v>
      </c>
      <c r="T32" s="10">
        <v>465555</v>
      </c>
      <c r="U32" s="10">
        <v>-355</v>
      </c>
      <c r="V32" s="11">
        <v>-1E-3</v>
      </c>
      <c r="W32" s="12">
        <f>IF(raceday_22_23[[#This Row],[Last Year Turnover]]&lt;&gt;0, raceday_22_23[[#This Row],[GBR/TO%]]-raceday_22_23[[#This Row],[Last Year GBR/TO%]], 0)</f>
        <v>0.193</v>
      </c>
    </row>
    <row r="33" spans="1:23" x14ac:dyDescent="0.3">
      <c r="A33" s="8">
        <v>45197</v>
      </c>
      <c r="B33" s="32" t="s">
        <v>31</v>
      </c>
      <c r="C33" s="32" t="s">
        <v>77</v>
      </c>
      <c r="D33" s="32" t="s">
        <v>26</v>
      </c>
      <c r="E33" s="3">
        <v>10</v>
      </c>
      <c r="F33" s="3">
        <v>104</v>
      </c>
      <c r="G33" s="3">
        <v>10.4</v>
      </c>
      <c r="H33" s="4">
        <v>0.5</v>
      </c>
      <c r="I33" s="5">
        <v>134230</v>
      </c>
      <c r="J33" s="5">
        <v>12073</v>
      </c>
      <c r="K33" s="4">
        <v>0.41699999999999998</v>
      </c>
      <c r="L33" s="4">
        <v>0</v>
      </c>
      <c r="M33" s="5">
        <v>636239</v>
      </c>
      <c r="N33" s="5">
        <v>55985</v>
      </c>
      <c r="O33" s="5">
        <v>118381.25</v>
      </c>
      <c r="P33" s="5">
        <v>515147</v>
      </c>
      <c r="Q33" s="4">
        <v>8.7999999999999995E-2</v>
      </c>
      <c r="R33" s="4">
        <v>0.47299999999999998</v>
      </c>
      <c r="S33" s="18">
        <v>5.3739999999999997</v>
      </c>
      <c r="T33" s="10">
        <v>637594</v>
      </c>
      <c r="U33" s="10">
        <v>101855</v>
      </c>
      <c r="V33" s="11">
        <v>0.16</v>
      </c>
      <c r="W33" s="12">
        <f>IF(raceday_22_23[[#This Row],[Last Year Turnover]]&lt;&gt;0, raceday_22_23[[#This Row],[GBR/TO%]]-raceday_22_23[[#This Row],[Last Year GBR/TO%]], 0)</f>
        <v>-7.2000000000000008E-2</v>
      </c>
    </row>
    <row r="34" spans="1:23" x14ac:dyDescent="0.3">
      <c r="A34" s="8">
        <v>45198</v>
      </c>
      <c r="B34" s="32" t="s">
        <v>32</v>
      </c>
      <c r="C34" s="32" t="s">
        <v>1</v>
      </c>
      <c r="D34" s="32" t="s">
        <v>27</v>
      </c>
      <c r="E34" s="3">
        <v>11</v>
      </c>
      <c r="F34" s="3">
        <v>127</v>
      </c>
      <c r="G34" s="3">
        <v>11.5</v>
      </c>
      <c r="H34" s="4">
        <v>0.36399999999999999</v>
      </c>
      <c r="I34" s="5">
        <v>265875</v>
      </c>
      <c r="J34" s="5">
        <v>24170</v>
      </c>
      <c r="K34" s="4">
        <v>1.036</v>
      </c>
      <c r="L34" s="4">
        <v>0.36399999999999999</v>
      </c>
      <c r="M34" s="5">
        <v>1281983</v>
      </c>
      <c r="N34" s="5">
        <v>275331</v>
      </c>
      <c r="O34" s="5">
        <v>265875</v>
      </c>
      <c r="P34" s="5">
        <v>454388</v>
      </c>
      <c r="Q34" s="4">
        <v>0.215</v>
      </c>
      <c r="R34" s="4">
        <v>1.036</v>
      </c>
      <c r="S34" s="18">
        <v>4.8220000000000001</v>
      </c>
      <c r="T34" s="10">
        <v>1499917</v>
      </c>
      <c r="U34" s="10">
        <v>381753</v>
      </c>
      <c r="V34" s="11">
        <v>0.255</v>
      </c>
      <c r="W34" s="12">
        <f>IF(raceday_22_23[[#This Row],[Last Year Turnover]]&lt;&gt;0, raceday_22_23[[#This Row],[GBR/TO%]]-raceday_22_23[[#This Row],[Last Year GBR/TO%]], 0)</f>
        <v>-4.0000000000000008E-2</v>
      </c>
    </row>
    <row r="35" spans="1:23" x14ac:dyDescent="0.3">
      <c r="A35" s="8">
        <v>45200</v>
      </c>
      <c r="B35" s="32" t="s">
        <v>33</v>
      </c>
      <c r="C35" s="32" t="s">
        <v>88</v>
      </c>
      <c r="D35" s="32" t="s">
        <v>27</v>
      </c>
      <c r="E35" s="3">
        <v>11</v>
      </c>
      <c r="F35" s="3">
        <v>141</v>
      </c>
      <c r="G35" s="3">
        <v>12.8</v>
      </c>
      <c r="H35" s="4">
        <v>0.36399999999999999</v>
      </c>
      <c r="I35" s="5">
        <v>121785</v>
      </c>
      <c r="J35" s="5">
        <v>11071</v>
      </c>
      <c r="K35" s="4">
        <v>2.222</v>
      </c>
      <c r="L35" s="4">
        <v>9.0999999999999998E-2</v>
      </c>
      <c r="M35" s="5">
        <v>1112038</v>
      </c>
      <c r="N35" s="5">
        <v>270631</v>
      </c>
      <c r="O35" s="5">
        <v>121785</v>
      </c>
      <c r="P35" s="5">
        <v>0</v>
      </c>
      <c r="Q35" s="4">
        <v>0.24299999999999999</v>
      </c>
      <c r="R35" s="4">
        <v>2.222</v>
      </c>
      <c r="S35" s="18">
        <v>9.1310000000000002</v>
      </c>
      <c r="T35" s="10">
        <v>962188</v>
      </c>
      <c r="U35" s="10">
        <v>164358</v>
      </c>
      <c r="V35" s="11">
        <v>0.17100000000000001</v>
      </c>
      <c r="W35" s="12">
        <f>IF(raceday_22_23[[#This Row],[Last Year Turnover]]&lt;&gt;0, raceday_22_23[[#This Row],[GBR/TO%]]-raceday_22_23[[#This Row],[Last Year GBR/TO%]], 0)</f>
        <v>7.1999999999999981E-2</v>
      </c>
    </row>
    <row r="36" spans="1:23" x14ac:dyDescent="0.3">
      <c r="A36" s="8">
        <v>45204</v>
      </c>
      <c r="B36" s="32" t="s">
        <v>31</v>
      </c>
      <c r="C36" s="32" t="s">
        <v>1</v>
      </c>
      <c r="D36" s="32" t="s">
        <v>27</v>
      </c>
      <c r="E36" s="3">
        <v>11</v>
      </c>
      <c r="F36" s="3">
        <v>114</v>
      </c>
      <c r="G36" s="3">
        <v>10.4</v>
      </c>
      <c r="H36" s="4">
        <v>0.54500000000000004</v>
      </c>
      <c r="I36" s="5">
        <v>191653</v>
      </c>
      <c r="J36" s="5">
        <v>17423</v>
      </c>
      <c r="K36" s="4">
        <v>1.127</v>
      </c>
      <c r="L36" s="4">
        <v>9.0999999999999998E-2</v>
      </c>
      <c r="M36" s="5">
        <v>961904</v>
      </c>
      <c r="N36" s="5">
        <v>215937</v>
      </c>
      <c r="O36" s="5">
        <v>0</v>
      </c>
      <c r="P36" s="5">
        <v>0</v>
      </c>
      <c r="Q36" s="4">
        <v>0.224</v>
      </c>
      <c r="R36" s="4">
        <v>0</v>
      </c>
      <c r="S36" s="18">
        <v>0</v>
      </c>
      <c r="T36" s="10">
        <v>1073170</v>
      </c>
      <c r="U36" s="10">
        <v>252766</v>
      </c>
      <c r="V36" s="11">
        <v>0.23599999999999999</v>
      </c>
      <c r="W36" s="12">
        <f>IF(raceday_22_23[[#This Row],[Last Year Turnover]]&lt;&gt;0, raceday_22_23[[#This Row],[GBR/TO%]]-raceday_22_23[[#This Row],[Last Year GBR/TO%]], 0)</f>
        <v>-1.1999999999999983E-2</v>
      </c>
    </row>
    <row r="37" spans="1:23" x14ac:dyDescent="0.3">
      <c r="A37" s="8">
        <v>45205</v>
      </c>
      <c r="B37" s="32" t="s">
        <v>32</v>
      </c>
      <c r="C37" s="32" t="s">
        <v>0</v>
      </c>
      <c r="D37" s="32" t="s">
        <v>26</v>
      </c>
      <c r="E37" s="3">
        <v>10</v>
      </c>
      <c r="F37" s="3">
        <v>87</v>
      </c>
      <c r="G37" s="3">
        <v>8.6999999999999993</v>
      </c>
      <c r="H37" s="4">
        <v>0.5</v>
      </c>
      <c r="I37" s="5">
        <v>160849</v>
      </c>
      <c r="J37" s="5">
        <v>16085</v>
      </c>
      <c r="K37" s="4">
        <v>0.36899999999999999</v>
      </c>
      <c r="L37" s="4">
        <v>0.2</v>
      </c>
      <c r="M37" s="5">
        <v>697349</v>
      </c>
      <c r="N37" s="5">
        <v>59317</v>
      </c>
      <c r="O37" s="5">
        <v>0</v>
      </c>
      <c r="P37" s="5">
        <v>0</v>
      </c>
      <c r="Q37" s="4">
        <v>8.5000000000000006E-2</v>
      </c>
      <c r="R37" s="4">
        <v>0</v>
      </c>
      <c r="S37" s="18">
        <v>0</v>
      </c>
      <c r="T37" s="10">
        <v>817398</v>
      </c>
      <c r="U37" s="10">
        <v>13201</v>
      </c>
      <c r="V37" s="11">
        <v>1.6E-2</v>
      </c>
      <c r="W37" s="12">
        <f>IF(raceday_22_23[[#This Row],[Last Year Turnover]]&lt;&gt;0, raceday_22_23[[#This Row],[GBR/TO%]]-raceday_22_23[[#This Row],[Last Year GBR/TO%]], 0)</f>
        <v>6.9000000000000006E-2</v>
      </c>
    </row>
    <row r="38" spans="1:23" x14ac:dyDescent="0.3">
      <c r="A38" s="8">
        <v>45205</v>
      </c>
      <c r="B38" s="32" t="s">
        <v>32</v>
      </c>
      <c r="C38" s="32" t="s">
        <v>89</v>
      </c>
      <c r="D38" s="32" t="s">
        <v>76</v>
      </c>
      <c r="E38" s="3">
        <v>7</v>
      </c>
      <c r="F38" s="3">
        <v>62</v>
      </c>
      <c r="G38" s="3">
        <v>8.9</v>
      </c>
      <c r="H38" s="4">
        <v>0.57099999999999995</v>
      </c>
      <c r="I38" s="5">
        <v>91085</v>
      </c>
      <c r="J38" s="5">
        <v>13012</v>
      </c>
      <c r="K38" s="4">
        <v>0.89700000000000002</v>
      </c>
      <c r="L38" s="4">
        <v>0.28599999999999998</v>
      </c>
      <c r="M38" s="5">
        <v>359124</v>
      </c>
      <c r="N38" s="5">
        <v>81713</v>
      </c>
      <c r="O38" s="5">
        <v>0</v>
      </c>
      <c r="P38" s="5">
        <v>0</v>
      </c>
      <c r="Q38" s="4">
        <v>0.22800000000000001</v>
      </c>
      <c r="R38" s="4">
        <v>0</v>
      </c>
      <c r="S38" s="18">
        <v>0</v>
      </c>
      <c r="T38" s="10">
        <v>507395</v>
      </c>
      <c r="U38" s="10">
        <v>32546</v>
      </c>
      <c r="V38" s="11">
        <v>6.4000000000000001E-2</v>
      </c>
      <c r="W38" s="12">
        <f>IF(raceday_22_23[[#This Row],[Last Year Turnover]]&lt;&gt;0, raceday_22_23[[#This Row],[GBR/TO%]]-raceday_22_23[[#This Row],[Last Year GBR/TO%]], 0)</f>
        <v>0.16400000000000001</v>
      </c>
    </row>
    <row r="39" spans="1:23" x14ac:dyDescent="0.3">
      <c r="A39" s="8">
        <v>45207</v>
      </c>
      <c r="B39" s="32" t="s">
        <v>33</v>
      </c>
      <c r="C39" s="32" t="s">
        <v>83</v>
      </c>
      <c r="D39" s="32" t="s">
        <v>27</v>
      </c>
      <c r="E39" s="3">
        <v>12</v>
      </c>
      <c r="F39" s="3">
        <v>164</v>
      </c>
      <c r="G39" s="3">
        <v>13.7</v>
      </c>
      <c r="H39" s="4">
        <v>0.33300000000000002</v>
      </c>
      <c r="I39" s="5">
        <v>198847</v>
      </c>
      <c r="J39" s="5">
        <v>16571</v>
      </c>
      <c r="K39" s="4">
        <v>1.5109999999999999</v>
      </c>
      <c r="L39" s="4">
        <v>0.25</v>
      </c>
      <c r="M39" s="5">
        <v>1442984</v>
      </c>
      <c r="N39" s="5">
        <v>300421</v>
      </c>
      <c r="O39" s="5">
        <v>0</v>
      </c>
      <c r="P39" s="5">
        <v>0</v>
      </c>
      <c r="Q39" s="4">
        <v>0.20799999999999999</v>
      </c>
      <c r="R39" s="4">
        <v>0</v>
      </c>
      <c r="S39" s="18">
        <v>0</v>
      </c>
      <c r="T39" s="10">
        <v>1418655</v>
      </c>
      <c r="U39" s="10">
        <v>299186</v>
      </c>
      <c r="V39" s="11">
        <v>0.21099999999999999</v>
      </c>
      <c r="W39" s="12">
        <f>IF(raceday_22_23[[#This Row],[Last Year Turnover]]&lt;&gt;0, raceday_22_23[[#This Row],[GBR/TO%]]-raceday_22_23[[#This Row],[Last Year GBR/TO%]], 0)</f>
        <v>-3.0000000000000027E-3</v>
      </c>
    </row>
    <row r="40" spans="1:23" x14ac:dyDescent="0.3">
      <c r="O40" s="4"/>
    </row>
    <row r="41" spans="1:23" x14ac:dyDescent="0.3">
      <c r="O41" s="4"/>
    </row>
    <row r="42" spans="1:23" x14ac:dyDescent="0.3">
      <c r="O42" s="21"/>
      <c r="P42" s="4"/>
    </row>
    <row r="46" spans="1:23" x14ac:dyDescent="0.3">
      <c r="U46" s="20"/>
    </row>
  </sheetData>
  <phoneticPr fontId="4" type="noConversion"/>
  <conditionalFormatting sqref="W2:W104857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topLeftCell="D1" workbookViewId="0">
      <selection activeCell="A2" sqref="A2:XFD2"/>
    </sheetView>
  </sheetViews>
  <sheetFormatPr defaultColWidth="9.109375" defaultRowHeight="14.4" x14ac:dyDescent="0.3"/>
  <cols>
    <col min="1" max="1" width="15.33203125" style="3" bestFit="1" customWidth="1"/>
    <col min="2" max="2" width="29.3320312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4" bestFit="1" customWidth="1"/>
    <col min="7" max="7" width="20.6640625" style="5" bestFit="1" customWidth="1"/>
    <col min="8" max="8" width="16.6640625" style="5" bestFit="1" customWidth="1"/>
    <col min="9" max="9" width="13.6640625" style="4" bestFit="1" customWidth="1"/>
    <col min="10" max="10" width="13.109375" style="4" bestFit="1" customWidth="1"/>
    <col min="11" max="11" width="10.88671875" style="5" bestFit="1" customWidth="1"/>
    <col min="12" max="12" width="9.88671875" style="5" bestFit="1" customWidth="1"/>
    <col min="13" max="13" width="10" style="5" bestFit="1" customWidth="1"/>
    <col min="14" max="14" width="17.109375" style="5" bestFit="1" customWidth="1"/>
    <col min="15" max="15" width="11.33203125" style="4" bestFit="1" customWidth="1"/>
    <col min="16" max="16" width="15.88671875" style="6" bestFit="1" customWidth="1"/>
    <col min="17" max="17" width="20.33203125" style="4" bestFit="1" customWidth="1"/>
    <col min="18" max="18" width="20.8867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" t="s">
        <v>72</v>
      </c>
      <c r="B2" s="3" t="s">
        <v>1</v>
      </c>
      <c r="C2" s="3">
        <v>55</v>
      </c>
      <c r="D2" s="3">
        <v>515</v>
      </c>
      <c r="E2" s="3">
        <v>9.4</v>
      </c>
      <c r="F2" s="4">
        <v>0.47299999999999998</v>
      </c>
      <c r="G2" s="5">
        <v>785863</v>
      </c>
      <c r="H2" s="5">
        <v>14288.4</v>
      </c>
      <c r="I2" s="4">
        <v>1.2969999999999999</v>
      </c>
      <c r="J2" s="4">
        <v>0.109</v>
      </c>
      <c r="K2" s="5">
        <v>5059005</v>
      </c>
      <c r="L2" s="5">
        <v>1019519</v>
      </c>
      <c r="M2" s="5">
        <v>630443.75</v>
      </c>
      <c r="N2" s="5">
        <v>1392611</v>
      </c>
      <c r="O2" s="4">
        <v>0.20200000000000001</v>
      </c>
      <c r="P2" s="4">
        <v>1.617</v>
      </c>
      <c r="Q2" s="11">
        <v>8.0250000000000004</v>
      </c>
      <c r="R2" s="22">
        <f>club_summary_data_22_23[[#This Row],[Turnover]]/club_summary_data_22_23[[#This Row],[Races]]</f>
        <v>91981.909090909088</v>
      </c>
      <c r="S2" s="3"/>
      <c r="T2" s="3"/>
    </row>
    <row r="3" spans="1:20" x14ac:dyDescent="0.3">
      <c r="A3" s="3" t="s">
        <v>72</v>
      </c>
      <c r="B3" s="3" t="s">
        <v>79</v>
      </c>
      <c r="C3" s="3">
        <v>10</v>
      </c>
      <c r="D3" s="3">
        <v>93</v>
      </c>
      <c r="E3" s="3">
        <v>9.3000000000000007</v>
      </c>
      <c r="F3" s="4">
        <v>0.2</v>
      </c>
      <c r="G3" s="5">
        <v>128402</v>
      </c>
      <c r="H3" s="5">
        <v>12840.2</v>
      </c>
      <c r="I3" s="4">
        <v>1.4730000000000001</v>
      </c>
      <c r="J3" s="4">
        <v>0.3</v>
      </c>
      <c r="K3" s="5">
        <v>905605</v>
      </c>
      <c r="L3" s="5">
        <v>189092</v>
      </c>
      <c r="M3" s="5">
        <v>128502.5</v>
      </c>
      <c r="N3" s="5">
        <v>185283</v>
      </c>
      <c r="O3" s="4">
        <v>0.20899999999999999</v>
      </c>
      <c r="P3" s="4">
        <v>1.472</v>
      </c>
      <c r="Q3" s="11">
        <v>7.0469999999999997</v>
      </c>
      <c r="R3" s="22">
        <f>club_summary_data_22_23[[#This Row],[Turnover]]/club_summary_data_22_23[[#This Row],[Races]]</f>
        <v>90560.5</v>
      </c>
      <c r="S3" s="3"/>
      <c r="T3" s="3"/>
    </row>
    <row r="4" spans="1:20" x14ac:dyDescent="0.3">
      <c r="A4" s="3" t="s">
        <v>72</v>
      </c>
      <c r="B4" s="3" t="s">
        <v>78</v>
      </c>
      <c r="C4" s="3">
        <v>18</v>
      </c>
      <c r="D4" s="3">
        <v>193</v>
      </c>
      <c r="E4" s="3">
        <v>10.7</v>
      </c>
      <c r="F4" s="4">
        <v>0.38900000000000001</v>
      </c>
      <c r="G4" s="5">
        <v>181731</v>
      </c>
      <c r="H4" s="5">
        <v>10096.200000000001</v>
      </c>
      <c r="I4" s="4">
        <v>1.923</v>
      </c>
      <c r="J4" s="4">
        <v>0.16700000000000001</v>
      </c>
      <c r="K4" s="5">
        <v>1605170</v>
      </c>
      <c r="L4" s="5">
        <v>349553</v>
      </c>
      <c r="M4" s="5">
        <v>82265</v>
      </c>
      <c r="N4" s="5">
        <v>207416</v>
      </c>
      <c r="O4" s="4">
        <v>0.218</v>
      </c>
      <c r="P4" s="4">
        <v>4.2489999999999997</v>
      </c>
      <c r="Q4" s="11">
        <v>19.512</v>
      </c>
      <c r="R4" s="22">
        <f>club_summary_data_22_23[[#This Row],[Turnover]]/club_summary_data_22_23[[#This Row],[Races]]</f>
        <v>89176.111111111109</v>
      </c>
      <c r="S4" s="3"/>
      <c r="T4" s="3"/>
    </row>
    <row r="5" spans="1:20" x14ac:dyDescent="0.3">
      <c r="A5" s="3" t="s">
        <v>72</v>
      </c>
      <c r="B5" s="3" t="s">
        <v>81</v>
      </c>
      <c r="C5" s="3">
        <v>10</v>
      </c>
      <c r="D5" s="3">
        <v>115</v>
      </c>
      <c r="E5" s="3">
        <v>11.5</v>
      </c>
      <c r="F5" s="4">
        <v>0.3</v>
      </c>
      <c r="G5" s="5">
        <v>101248</v>
      </c>
      <c r="H5" s="5">
        <v>10124.799999999999</v>
      </c>
      <c r="I5" s="4">
        <v>1.9179999999999999</v>
      </c>
      <c r="J5" s="4">
        <v>0.1</v>
      </c>
      <c r="K5" s="5">
        <v>786047</v>
      </c>
      <c r="L5" s="5">
        <v>194213</v>
      </c>
      <c r="M5" s="5">
        <v>101447.5</v>
      </c>
      <c r="N5" s="5">
        <v>180886</v>
      </c>
      <c r="O5" s="4">
        <v>0.247</v>
      </c>
      <c r="P5" s="4">
        <v>1.9139999999999999</v>
      </c>
      <c r="Q5" s="11">
        <v>7.7480000000000002</v>
      </c>
      <c r="R5" s="22">
        <f>club_summary_data_22_23[[#This Row],[Turnover]]/club_summary_data_22_23[[#This Row],[Races]]</f>
        <v>78604.7</v>
      </c>
      <c r="S5" s="3"/>
      <c r="T5" s="3"/>
    </row>
    <row r="6" spans="1:20" x14ac:dyDescent="0.3">
      <c r="A6" s="3" t="s">
        <v>72</v>
      </c>
      <c r="B6" s="3" t="s">
        <v>0</v>
      </c>
      <c r="C6" s="3">
        <v>28</v>
      </c>
      <c r="D6" s="3">
        <v>254</v>
      </c>
      <c r="E6" s="3">
        <v>9.1</v>
      </c>
      <c r="F6" s="4">
        <v>0.17899999999999999</v>
      </c>
      <c r="G6" s="5">
        <v>434356</v>
      </c>
      <c r="H6" s="5">
        <v>15512.7</v>
      </c>
      <c r="I6" s="4">
        <v>1.117</v>
      </c>
      <c r="J6" s="4">
        <v>7.0999999999999994E-2</v>
      </c>
      <c r="K6" s="5">
        <v>2057299</v>
      </c>
      <c r="L6" s="5">
        <v>485134</v>
      </c>
      <c r="M6" s="5">
        <v>434555</v>
      </c>
      <c r="N6" s="5">
        <v>595144</v>
      </c>
      <c r="O6" s="4">
        <v>0.23599999999999999</v>
      </c>
      <c r="P6" s="4">
        <v>1.1160000000000001</v>
      </c>
      <c r="Q6" s="11">
        <v>4.734</v>
      </c>
      <c r="R6" s="22">
        <f>club_summary_data_22_23[[#This Row],[Turnover]]/club_summary_data_22_23[[#This Row],[Races]]</f>
        <v>73474.96428571429</v>
      </c>
      <c r="S6" s="3"/>
      <c r="T6" s="3"/>
    </row>
    <row r="7" spans="1:20" x14ac:dyDescent="0.3">
      <c r="A7" s="3" t="s">
        <v>72</v>
      </c>
      <c r="B7" s="3" t="s">
        <v>77</v>
      </c>
      <c r="C7" s="3">
        <v>18</v>
      </c>
      <c r="D7" s="3">
        <v>171</v>
      </c>
      <c r="E7" s="3">
        <v>9.5</v>
      </c>
      <c r="F7" s="4">
        <v>0.5</v>
      </c>
      <c r="G7" s="5">
        <v>209944</v>
      </c>
      <c r="H7" s="5">
        <v>11663.6</v>
      </c>
      <c r="I7" s="4">
        <v>0.84599999999999997</v>
      </c>
      <c r="J7" s="4">
        <v>0.111</v>
      </c>
      <c r="K7" s="5">
        <v>1199980</v>
      </c>
      <c r="L7" s="5">
        <v>177648</v>
      </c>
      <c r="M7" s="5">
        <v>209345</v>
      </c>
      <c r="N7" s="5">
        <v>586610</v>
      </c>
      <c r="O7" s="4">
        <v>0.14799999999999999</v>
      </c>
      <c r="P7" s="4">
        <v>0.84899999999999998</v>
      </c>
      <c r="Q7" s="11">
        <v>5.7320000000000002</v>
      </c>
      <c r="R7" s="22">
        <f>club_summary_data_22_23[[#This Row],[Turnover]]/club_summary_data_22_23[[#This Row],[Races]]</f>
        <v>66665.555555555562</v>
      </c>
      <c r="S7" s="3"/>
      <c r="T7" s="3"/>
    </row>
    <row r="8" spans="1:20" x14ac:dyDescent="0.3">
      <c r="A8" s="3" t="s">
        <v>72</v>
      </c>
      <c r="B8" s="3" t="s">
        <v>75</v>
      </c>
      <c r="C8" s="3">
        <v>14</v>
      </c>
      <c r="D8" s="3">
        <v>127</v>
      </c>
      <c r="E8" s="3">
        <v>9.1</v>
      </c>
      <c r="F8" s="4">
        <v>0.64300000000000002</v>
      </c>
      <c r="G8" s="5">
        <v>149775</v>
      </c>
      <c r="H8" s="5">
        <v>10698.2</v>
      </c>
      <c r="I8" s="4">
        <v>0.59899999999999998</v>
      </c>
      <c r="J8" s="4">
        <v>0.214</v>
      </c>
      <c r="K8" s="5">
        <v>780084</v>
      </c>
      <c r="L8" s="5">
        <v>89786</v>
      </c>
      <c r="M8" s="5">
        <v>75825</v>
      </c>
      <c r="N8" s="5">
        <v>158909</v>
      </c>
      <c r="O8" s="4">
        <v>0.115</v>
      </c>
      <c r="P8" s="4">
        <v>1.1839999999999999</v>
      </c>
      <c r="Q8" s="11">
        <v>10.288</v>
      </c>
      <c r="R8" s="22">
        <f>club_summary_data_22_23[[#This Row],[Turnover]]/club_summary_data_22_23[[#This Row],[Races]]</f>
        <v>55720.285714285717</v>
      </c>
      <c r="S8" s="3"/>
      <c r="T8" s="3"/>
    </row>
    <row r="9" spans="1:20" x14ac:dyDescent="0.3">
      <c r="A9" s="3" t="s">
        <v>72</v>
      </c>
      <c r="B9" s="3" t="s">
        <v>80</v>
      </c>
      <c r="C9" s="3">
        <v>9</v>
      </c>
      <c r="D9" s="3">
        <v>81</v>
      </c>
      <c r="E9" s="3">
        <v>9</v>
      </c>
      <c r="F9" s="4">
        <v>0.55600000000000005</v>
      </c>
      <c r="G9" s="5">
        <v>91820</v>
      </c>
      <c r="H9" s="5">
        <v>10202.200000000001</v>
      </c>
      <c r="I9" s="4">
        <v>0.35299999999999998</v>
      </c>
      <c r="J9" s="4">
        <v>0.111</v>
      </c>
      <c r="K9" s="5">
        <v>421878</v>
      </c>
      <c r="L9" s="5">
        <v>32448</v>
      </c>
      <c r="M9" s="5">
        <v>91920</v>
      </c>
      <c r="N9" s="5">
        <v>228617</v>
      </c>
      <c r="O9" s="4">
        <v>7.6999999999999999E-2</v>
      </c>
      <c r="P9" s="4">
        <v>0.35299999999999998</v>
      </c>
      <c r="Q9" s="11">
        <v>4.59</v>
      </c>
      <c r="R9" s="22">
        <f>club_summary_data_22_23[[#This Row],[Turnover]]/club_summary_data_22_23[[#This Row],[Races]]</f>
        <v>46875.333333333336</v>
      </c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M12" s="4"/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/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9.8867187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" t="s">
        <v>72</v>
      </c>
      <c r="B2" s="3" t="s">
        <v>26</v>
      </c>
      <c r="C2" s="3">
        <v>96</v>
      </c>
      <c r="D2" s="3">
        <v>892</v>
      </c>
      <c r="E2" s="3">
        <v>9.3000000000000007</v>
      </c>
      <c r="F2" s="4">
        <v>0.34399999999999997</v>
      </c>
      <c r="G2" s="5">
        <v>1451978</v>
      </c>
      <c r="H2" s="5">
        <v>15124.8</v>
      </c>
      <c r="I2" s="4">
        <v>0.92500000000000004</v>
      </c>
      <c r="J2" s="4">
        <v>8.3000000000000004E-2</v>
      </c>
      <c r="K2" s="5">
        <v>6778646</v>
      </c>
      <c r="L2" s="5">
        <v>1343680</v>
      </c>
      <c r="M2" s="5">
        <v>1289476.25</v>
      </c>
      <c r="N2" s="5">
        <v>3062667</v>
      </c>
      <c r="O2" s="4">
        <v>0.19800000000000001</v>
      </c>
      <c r="P2" s="4">
        <v>1.042</v>
      </c>
      <c r="Q2" s="4">
        <v>5.2569999999999997</v>
      </c>
    </row>
    <row r="3" spans="1:19" x14ac:dyDescent="0.3">
      <c r="A3" s="3" t="s">
        <v>72</v>
      </c>
      <c r="B3" s="3" t="s">
        <v>27</v>
      </c>
      <c r="C3" s="3">
        <v>181</v>
      </c>
      <c r="D3" s="3">
        <v>1972</v>
      </c>
      <c r="E3" s="3">
        <v>10.9</v>
      </c>
      <c r="F3" s="4">
        <v>0.39200000000000002</v>
      </c>
      <c r="G3" s="5">
        <v>2694020</v>
      </c>
      <c r="H3" s="5">
        <v>14884.1</v>
      </c>
      <c r="I3" s="4">
        <v>1.423</v>
      </c>
      <c r="J3" s="4">
        <v>0.21</v>
      </c>
      <c r="K3" s="5">
        <v>17457862</v>
      </c>
      <c r="L3" s="5">
        <v>3833609</v>
      </c>
      <c r="M3" s="5">
        <v>2305216.25</v>
      </c>
      <c r="N3" s="5">
        <v>4599362</v>
      </c>
      <c r="O3" s="4">
        <v>0.22</v>
      </c>
      <c r="P3" s="4">
        <v>1.663</v>
      </c>
      <c r="Q3" s="4">
        <v>7.5730000000000004</v>
      </c>
    </row>
    <row r="4" spans="1:19" x14ac:dyDescent="0.3">
      <c r="A4" s="3" t="s">
        <v>72</v>
      </c>
      <c r="B4" s="3" t="s">
        <v>76</v>
      </c>
      <c r="C4" s="3">
        <v>87</v>
      </c>
      <c r="D4" s="3">
        <v>773</v>
      </c>
      <c r="E4" s="3">
        <v>8.9</v>
      </c>
      <c r="F4" s="4">
        <v>0.437</v>
      </c>
      <c r="G4" s="5">
        <v>1047193</v>
      </c>
      <c r="H4" s="5">
        <v>12036.7</v>
      </c>
      <c r="I4" s="4">
        <v>0.90200000000000002</v>
      </c>
      <c r="J4" s="4">
        <v>0.17199999999999999</v>
      </c>
      <c r="K4" s="5">
        <v>5335567</v>
      </c>
      <c r="L4" s="5">
        <v>945014</v>
      </c>
      <c r="M4" s="5">
        <v>956707.5</v>
      </c>
      <c r="N4" s="5">
        <v>1925207</v>
      </c>
      <c r="O4" s="4">
        <v>0.17699999999999999</v>
      </c>
      <c r="P4" s="4">
        <v>0.98799999999999999</v>
      </c>
      <c r="Q4" s="4">
        <v>5.577</v>
      </c>
    </row>
    <row r="7" spans="1:19" x14ac:dyDescent="0.3">
      <c r="A7" s="31" t="s">
        <v>58</v>
      </c>
      <c r="B7" s="31"/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5" t="s">
        <v>17</v>
      </c>
      <c r="S9" s="25" t="s">
        <v>48</v>
      </c>
    </row>
    <row r="10" spans="1:19" x14ac:dyDescent="0.3">
      <c r="A10" s="31" t="str">
        <f>CONCATENATE("Current Season (as at", " ", TEXT(NOTES!F1, "dd"), " ", TEXT(NOTES!F1, "mmmm"), "):")</f>
        <v>Current Season (as at 10 October):</v>
      </c>
      <c r="B10" s="31"/>
      <c r="C10" s="26">
        <f>SUM(nz_grouping_summary_data_22_23[Races])</f>
        <v>364</v>
      </c>
      <c r="D10" s="26">
        <f>SUM(nz_grouping_summary_data_22_23[Starters])</f>
        <v>3637</v>
      </c>
      <c r="E10" s="27">
        <f>D10/C10</f>
        <v>9.9917582417582409</v>
      </c>
      <c r="F10" s="28">
        <f>(ROUND(F2*C2,0) + ROUND(F4*C4,0) + ROUND(F5*C5,0))/C10</f>
        <v>0.19505494505494506</v>
      </c>
      <c r="G10" s="29">
        <f>SUM(nz_grouping_summary_data_22_23[HRNZ Funded Stakes])</f>
        <v>5193191</v>
      </c>
      <c r="H10" s="29">
        <f>G10/C10</f>
        <v>14267.008241758242</v>
      </c>
      <c r="I10" s="28">
        <f>M10/G10</f>
        <v>1.1789096530437644</v>
      </c>
      <c r="J10" s="28">
        <f>(ROUND(J2*C2,0) + ROUND(J4*C4,0) + ROUND(J5*C5,0))/C10</f>
        <v>6.3186813186813184E-2</v>
      </c>
      <c r="K10" s="29">
        <f>SUM(nz_grouping_summary_data_22_23[Turnover])</f>
        <v>29572075</v>
      </c>
      <c r="L10" s="29">
        <f>K10/C10</f>
        <v>81241.96428571429</v>
      </c>
      <c r="M10" s="29">
        <f>SUM(nz_grouping_summary_data_22_23[GBR])</f>
        <v>6122303</v>
      </c>
      <c r="N10" s="29">
        <f>M10/C10</f>
        <v>16819.513736263736</v>
      </c>
      <c r="O10" s="29">
        <f>SUM(nz_grouping_summary_data_22_23[Funding])</f>
        <v>4551400</v>
      </c>
      <c r="P10" s="29">
        <f>SUM(nz_grouping_summary_data_22_23[Export TO (AUD)])</f>
        <v>9587236</v>
      </c>
      <c r="Q10" s="28">
        <f>M10/K10</f>
        <v>0.20702987531311212</v>
      </c>
      <c r="R10" s="28">
        <f>M10/O10</f>
        <v>1.345147207452652</v>
      </c>
      <c r="S10" s="28">
        <f>K10/O10</f>
        <v>6.4973579557938219</v>
      </c>
    </row>
    <row r="11" spans="1:19" x14ac:dyDescent="0.3">
      <c r="A11" s="31" t="str">
        <f>CONCATENATE("Prior Season (as at", " ", TEXT(NOTES!F1, "dd"), " ", TEXT(NOTES!F1, "mmmm"), "):")</f>
        <v>Prior Season (as at 10 October):</v>
      </c>
      <c r="B11" s="31"/>
      <c r="C11" s="26" cm="1">
        <f t="array" ref="C11">prior_yr_cumulative_total[Races]</f>
        <v>358</v>
      </c>
      <c r="D11" s="26" cm="1">
        <f t="array" ref="D11">prior_yr_cumulative_total[Starters]</f>
        <v>3478</v>
      </c>
      <c r="E11" s="27" cm="1">
        <f t="array" ref="E11">prior_yr_cumulative_total[AFS]</f>
        <v>9.7200000000000006</v>
      </c>
      <c r="F11" s="28" cm="1">
        <f t="array" ref="F11">prior_yr_cumulative_total[num_fav_winners]/prior_yr_cumulative_total[Races]</f>
        <v>0.37430167597765363</v>
      </c>
      <c r="G11" s="29" cm="1">
        <f t="array" ref="G11">prior_yr_cumulative_total[hrnz_funded_stakes]</f>
        <v>4384697</v>
      </c>
      <c r="H11" s="29">
        <f>G11/C11</f>
        <v>12247.756983240224</v>
      </c>
      <c r="I11" s="28">
        <f>M11/G11</f>
        <v>1.1815297613495299</v>
      </c>
      <c r="J11" s="28" cm="1">
        <f t="array" ref="J11">prior_yr_cumulative_total[num_late_starts]/prior_yr_cumulative_total[Races]</f>
        <v>0.15642458100558659</v>
      </c>
      <c r="K11" s="29" cm="1">
        <f t="array" ref="K11">prior_yr_cumulative_total[turnover]</f>
        <v>29469347</v>
      </c>
      <c r="L11" s="29">
        <f>K11/C11</f>
        <v>82316.611731843572</v>
      </c>
      <c r="M11" s="29" cm="1">
        <f t="array" ref="M11">prior_yr_cumulative_total[GBR]</f>
        <v>5180650</v>
      </c>
      <c r="N11" s="29">
        <f>M11/C11</f>
        <v>14471.089385474861</v>
      </c>
      <c r="O11" s="29" t="str" cm="1">
        <f t="array" ref="O11">prior_yr_cumulative_total[total_funding]</f>
        <v>5487158</v>
      </c>
      <c r="P11" s="29" cm="1">
        <f t="array" ref="P11">prior_yr_cumulative_total[export_TO]</f>
        <v>12138513</v>
      </c>
      <c r="Q11" s="28">
        <f>M11/K11</f>
        <v>0.17579792317759874</v>
      </c>
      <c r="R11" s="28">
        <f>M11/O11</f>
        <v>0.94414084668238096</v>
      </c>
      <c r="S11" s="28">
        <f>K11/O11</f>
        <v>5.3706029605854253</v>
      </c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6"/>
      <c r="S12" s="26"/>
    </row>
    <row r="13" spans="1:19" x14ac:dyDescent="0.3">
      <c r="A13" s="31" t="s">
        <v>68</v>
      </c>
      <c r="B13" s="31"/>
      <c r="C13" s="30">
        <f>(C10-C11)/C11</f>
        <v>1.6759776536312849E-2</v>
      </c>
      <c r="D13" s="30">
        <f t="shared" ref="D13:H13" si="0">(D10-D11)/D11</f>
        <v>4.5715928694652096E-2</v>
      </c>
      <c r="E13" s="30">
        <f t="shared" si="0"/>
        <v>2.7958666847555581E-2</v>
      </c>
      <c r="F13" s="28">
        <f t="shared" ref="F13:J13" si="1">F10-F11</f>
        <v>-0.17924673092270857</v>
      </c>
      <c r="G13" s="28">
        <f t="shared" si="0"/>
        <v>0.18438993618031074</v>
      </c>
      <c r="H13" s="28">
        <f t="shared" si="0"/>
        <v>0.16486702514437149</v>
      </c>
      <c r="I13" s="28">
        <f t="shared" si="1"/>
        <v>-2.6201083057655339E-3</v>
      </c>
      <c r="J13" s="28">
        <f t="shared" si="1"/>
        <v>-9.3237767818773409E-2</v>
      </c>
      <c r="K13" s="28">
        <f t="shared" ref="K13:P13" si="2">(K10-K11)/K11</f>
        <v>3.4859272585849969E-3</v>
      </c>
      <c r="L13" s="28">
        <f t="shared" si="2"/>
        <v>-1.3055049564358618E-2</v>
      </c>
      <c r="M13" s="28">
        <f t="shared" si="2"/>
        <v>0.18176348527694403</v>
      </c>
      <c r="N13" s="28">
        <f t="shared" si="2"/>
        <v>0.16228386738776354</v>
      </c>
      <c r="O13" s="28">
        <f t="shared" si="2"/>
        <v>-0.17053600424846524</v>
      </c>
      <c r="P13" s="28">
        <f t="shared" si="2"/>
        <v>-0.21018035734690071</v>
      </c>
      <c r="Q13" s="28">
        <f t="shared" ref="Q13" si="3">Q10-Q11</f>
        <v>3.1231952135513386E-2</v>
      </c>
      <c r="R13" s="28">
        <f>R10-R11</f>
        <v>0.40100636077027108</v>
      </c>
      <c r="S13" s="28">
        <f>S10-S11</f>
        <v>1.1267549952083966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8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358</v>
      </c>
      <c r="C2">
        <v>3478</v>
      </c>
      <c r="D2">
        <v>9.7200000000000006</v>
      </c>
      <c r="E2">
        <v>134</v>
      </c>
      <c r="F2">
        <v>4384697</v>
      </c>
      <c r="G2">
        <v>4488147</v>
      </c>
      <c r="H2" t="s">
        <v>90</v>
      </c>
      <c r="I2">
        <v>29469347</v>
      </c>
      <c r="J2">
        <v>5180650</v>
      </c>
      <c r="K2">
        <v>12138513</v>
      </c>
      <c r="L2">
        <v>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2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2023-10-09T19:49:51Z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