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332" documentId="8_{AAD5AAB2-47E2-437E-81A2-472403DF00FE}" xr6:coauthVersionLast="47" xr6:coauthVersionMax="47" xr10:uidLastSave="{05F521AD-C180-4B79-9C52-D04CF660168A}"/>
  <bookViews>
    <workbookView xWindow="-120" yWindow="-16320" windowWidth="29040" windowHeight="15840" tabRatio="762" activeTab="3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Breakdown'!$A$1:$Q$7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Breakdown'!$A$1:$V$11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11" i="7"/>
  <c r="R3" i="2" l="1"/>
  <c r="R2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C13" i="5" l="1"/>
  <c r="J10" i="5"/>
  <c r="J13" i="5" s="1"/>
  <c r="F10" i="5"/>
  <c r="F13" i="5" s="1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R10" i="5"/>
  <c r="R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<sst xmlns="http://schemas.openxmlformats.org/spreadsheetml/2006/main" count="166" uniqueCount="81">
  <si>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</si>
  <si>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</si>
  <si>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</si>
  <si>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</si>
  <si>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</si>
  <si>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</si>
  <si>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</si>
  <si>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</si>
  <si>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</si>
  <si>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</si>
  <si>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</si>
  <si>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</si>
  <si>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</si>
  <si>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</si>
  <si>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</si>
  <si>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</si>
  <si>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</si>
  <si>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</si>
  <si>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</si>
  <si>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</si>
  <si>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</si>
  <si>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</si>
  <si>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</si>
  <si>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</si>
  <si>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</si>
  <si>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</si>
  <si>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</si>
  <si>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</si>
  <si>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</si>
  <si>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</si>
  <si>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</si>
  <si>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</si>
  <si>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</si>
  <si>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</si>
  <si>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</si>
  <si>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</si>
  <si>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</si>
  <si>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</si>
  <si>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</si>
  <si>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</si>
  <si>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</si>
  <si>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</si>
  <si>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</si>
  <si>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</si>
  <si>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</si>
  <si>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</si>
  <si>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</si>
  <si>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</si>
  <si>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</si>
  <si>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</si>
  <si>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</si>
  <si>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</si>
  <si>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</si>
  <si>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</si>
  <si>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</si>
  <si>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</si>
  <si>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</si>
  <si>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</si>
  <si>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</si>
  <si>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</si>
  <si>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</si>
  <si>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</si>
  <si>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</si>
  <si>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</si>
  <si>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</si>
  <si>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</si>
  <si>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</si>
  <si>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</si>
  <si>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</si>
  <si>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</si>
  <si>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</si>
  <si>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</si>
  <si>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</si>
  <si>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</si>
  <si>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</si>
  <si>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Winton Harness Racing Club Inc</t>
  </si>
  <si>
    <t>C South</t>
  </si>
  <si>
    <t>Waikato Bay of Plenty Harness Inc</t>
  </si>
  <si>
    <t>Ashburton Trotting Club Inc</t>
  </si>
  <si>
    <t>Kurow Harness Racing Club Inc</t>
  </si>
  <si>
    <t>1223029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</si>
</sst>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9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7" unboundColumnsRight="1">
    <queryTableFields count="18">
      <queryTableField id="16" name="Racing Season" tableColumnId="16"/>
      <queryTableField id="17" name="Club Name" tableColumnId="17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11" tableType="queryTable" totalsRowShown="0" headerRowDxfId="92" dataDxfId="91">
  <autoFilter ref="A1:W11" xr:uid="{8ECB3143-AA95-4BFF-A156-EF7EBE26DCDE}"/>
  <sortState xmlns:xlrd2="http://schemas.microsoft.com/office/spreadsheetml/2017/richdata2" ref="A2:W11">
    <sortCondition ref="A1:A11"/>
  </sortState>
  <tableColumns count="23">
    <tableColumn id="1" xr3:uid="{5F1515AB-D4C6-450E-90C6-8D42083D358F}" uniqueName="1" name="Raceday Date" queryTableFieldId="1" dataDxfId="61" totalsRowDxfId="90"/>
    <tableColumn id="3" xr3:uid="{4D22E4DB-A2CB-484E-98AB-D3196AA8DCBA}" uniqueName="3" name="Day" queryTableFieldId="3" dataDxfId="60" totalsRowDxfId="89"/>
    <tableColumn id="4" xr3:uid="{079CAB0E-B157-4580-890F-A2E8A321D4DA}" uniqueName="4" name="Club" queryTableFieldId="4" dataDxfId="59" totalsRowDxfId="88"/>
    <tableColumn id="5" xr3:uid="{B6974082-46C7-4DB4-9C07-8ACA1D9582CC}" uniqueName="5" name="NZ Grouping" queryTableFieldId="5" dataDxfId="58" totalsRowDxfId="87"/>
    <tableColumn id="6" xr3:uid="{F501D4AB-49F6-42D0-A6C3-C366D3CD9C9F}" uniqueName="6" name="Races" queryTableFieldId="6" dataDxfId="57" totalsRowDxfId="86"/>
    <tableColumn id="7" xr3:uid="{6472B750-CAFA-4659-954E-0D7CDFEDAF8D}" uniqueName="7" name="Starters" queryTableFieldId="7" dataDxfId="56" totalsRowDxfId="85"/>
    <tableColumn id="8" xr3:uid="{A6F068C6-B31A-48FB-9A7F-3EBC74560F00}" uniqueName="8" name="Ave. FS" queryTableFieldId="8" dataDxfId="55" totalsRowDxfId="84"/>
    <tableColumn id="9" xr3:uid="{735FC37F-C20A-4FF8-9D0B-6409E6E960D6}" uniqueName="9" name="Fav. Win %" queryTableFieldId="9" dataDxfId="54" totalsRowDxfId="83" dataCellStyle="Percent" totalsRowCellStyle="Percent"/>
    <tableColumn id="10" xr3:uid="{BE932EB9-8F1A-4DC5-89BC-A34CE04F0B45}" uniqueName="10" name="HRNZ Funded Stakes" queryTableFieldId="10" dataDxfId="53" totalsRowDxfId="82"/>
    <tableColumn id="11" xr3:uid="{24F34BAF-F3E6-4280-9E85-DA9003991599}" uniqueName="11" name="Ave. Race Stake" queryTableFieldId="11" dataDxfId="52" totalsRowDxfId="81"/>
    <tableColumn id="12" xr3:uid="{4FF8BBC7-2C19-495B-93D5-55EF6A3CB032}" uniqueName="12" name="GBR/Stake%" queryTableFieldId="12" dataDxfId="51" totalsRowDxfId="80" dataCellStyle="Percent" totalsRowCellStyle="Percent"/>
    <tableColumn id="13" xr3:uid="{87F3198B-2F6F-4F7D-9D8E-31A1C217F570}" uniqueName="13" name="Late Start %" queryTableFieldId="13" dataDxfId="50" totalsRowDxfId="79" dataCellStyle="Percent" totalsRowCellStyle="Percent"/>
    <tableColumn id="14" xr3:uid="{C0E71842-6635-4508-9F04-54B6F1B1D614}" uniqueName="14" name="Turnover" queryTableFieldId="14" dataDxfId="49" totalsRowDxfId="78"/>
    <tableColumn id="15" xr3:uid="{67CBE4C1-72CF-4D04-AA51-749ABCF6DBBB}" uniqueName="15" name="GBR" queryTableFieldId="15" dataDxfId="48" totalsRowDxfId="77"/>
    <tableColumn id="16" xr3:uid="{C0F3665E-80A4-4CD0-AD3C-68AFEF1C07C8}" uniqueName="16" name="Funding" queryTableFieldId="16" dataDxfId="47" totalsRowDxfId="76"/>
    <tableColumn id="17" xr3:uid="{7E12EA9A-8485-4A14-AC19-9DDB6A1FC20D}" uniqueName="17" name="Export TO (AUD)" queryTableFieldId="17" dataDxfId="46" totalsRowDxfId="75"/>
    <tableColumn id="18" xr3:uid="{2BDB94B1-5401-4216-9472-367432BC6611}" uniqueName="18" name="GBR/TO%" queryTableFieldId="18" dataDxfId="45" totalsRowDxfId="74" dataCellStyle="Percent" totalsRowCellStyle="Percent"/>
    <tableColumn id="19" xr3:uid="{5BEEB3EB-B922-4CCA-BD52-0736011E32F3}" uniqueName="19" name="GBR/Funding%" queryTableFieldId="19" dataDxfId="44" totalsRowDxfId="73" dataCellStyle="Percent" totalsRowCellStyle="Percent"/>
    <tableColumn id="23" xr3:uid="{0E33540D-E2E1-47EA-AAA0-BA460E179A4C}" uniqueName="23" name="Turnover/Funding%" queryTableFieldId="24" dataDxfId="43" totalsRowDxfId="72" dataCellStyle="Percent" totalsRowCellStyle="Percent"/>
    <tableColumn id="2" xr3:uid="{26910BD9-293C-4827-8EB5-00479587934B}" uniqueName="2" name="Last Year Turnover" queryTableFieldId="20" dataDxfId="42" totalsRowDxfId="71" dataCellStyle="Percent" totalsRowCellStyle="Percent"/>
    <tableColumn id="20" xr3:uid="{29C94857-9797-44C0-9D19-5F8B497852F4}" uniqueName="20" name="Last Year GBR" queryTableFieldId="21" dataDxfId="41" totalsRowDxfId="70" dataCellStyle="Percent" totalsRowCellStyle="Percent"/>
    <tableColumn id="21" xr3:uid="{5DED8152-DE09-400A-827D-564EF2FCBA86}" uniqueName="21" name="Last Year GBR/TO%" queryTableFieldId="22" dataDxfId="40" totalsRowDxfId="69" dataCellStyle="Percent" totalsRowCellStyle="Percent"/>
    <tableColumn id="22" xr3:uid="{DEB2B479-B38A-4793-9AAC-A801C48A3C62}" uniqueName="22" name="GBR/TO% Diff to Last Year" queryTableFieldId="23" dataDxfId="39" totalsRowDxfId="68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R7" tableType="queryTable" totalsRowShown="0" headerRowDxfId="67" dataDxfId="66">
  <autoFilter ref="A1:R7" xr:uid="{5FA43247-39D7-4B2A-AFC9-F68C37923AD2}"/>
  <sortState xmlns:xlrd2="http://schemas.microsoft.com/office/spreadsheetml/2017/richdata2" ref="A2:R7">
    <sortCondition descending="1" ref="R1:R7"/>
  </sortState>
  <tableColumns count="18">
    <tableColumn id="16" xr3:uid="{84FA02A7-59C6-4C88-B547-678AE6036BBE}" uniqueName="16" name="Racing Season" queryTableFieldId="16" dataDxfId="38"/>
    <tableColumn id="17" xr3:uid="{14D4F993-D007-4167-9D93-6CCCD6C99B67}" uniqueName="17" name="Club Name" queryTableFieldId="17" dataDxfId="37"/>
    <tableColumn id="18" xr3:uid="{40426622-692C-4EFC-B1A9-5CA2789AA835}" uniqueName="18" name="Races" queryTableFieldId="18" dataDxfId="36"/>
    <tableColumn id="19" xr3:uid="{CA79EC68-0190-45F3-814E-B728589F53C1}" uniqueName="19" name="Starters" queryTableFieldId="19" dataDxfId="35"/>
    <tableColumn id="20" xr3:uid="{C3462C5D-26B9-41C0-96EF-4267929F5E28}" uniqueName="20" name="Ave. FS" queryTableFieldId="20" dataDxfId="34"/>
    <tableColumn id="21" xr3:uid="{DD4596B2-0A52-4ADB-8146-825AD8D65525}" uniqueName="21" name="Fav. Win %" queryTableFieldId="21" dataDxfId="33" dataCellStyle="Percent"/>
    <tableColumn id="22" xr3:uid="{E882B0C9-AEA8-48CA-88FA-6A9B29C443EE}" uniqueName="22" name="HRNZ Funded Stakes" queryTableFieldId="22" dataDxfId="32"/>
    <tableColumn id="23" xr3:uid="{19B196F6-92F6-4839-9AF4-CB7E270C3B70}" uniqueName="23" name="Ave. Race Stake" queryTableFieldId="23" dataDxfId="31"/>
    <tableColumn id="24" xr3:uid="{6449B595-8CA5-4EE1-9AFA-826DB3503C58}" uniqueName="24" name="GBR/Stake%" queryTableFieldId="24" dataDxfId="30" dataCellStyle="Percent"/>
    <tableColumn id="25" xr3:uid="{5BCD5CB0-4520-49BC-9A63-77134EDD010C}" uniqueName="25" name="Late Start %" queryTableFieldId="25" dataDxfId="29" dataCellStyle="Percent"/>
    <tableColumn id="26" xr3:uid="{C0D6702E-606E-4489-95ED-A0C8A3413E36}" uniqueName="26" name="Turnover" queryTableFieldId="26" dataDxfId="28"/>
    <tableColumn id="27" xr3:uid="{A16AEFC2-E30F-43BB-9909-4AB8EA92E16B}" uniqueName="27" name="GBR" queryTableFieldId="27" dataDxfId="27"/>
    <tableColumn id="28" xr3:uid="{220F42A6-6454-4028-A5E3-18E3F7FD3571}" uniqueName="28" name="Funding" queryTableFieldId="28" dataDxfId="26"/>
    <tableColumn id="29" xr3:uid="{8CF6C49B-14B6-437D-972D-4A9A96E1B412}" uniqueName="29" name="Export TO (AUD)" queryTableFieldId="29" dataDxfId="25"/>
    <tableColumn id="30" xr3:uid="{85517A98-FA21-4C97-AA00-8BB10FFBC4D7}" uniqueName="30" name="GBR/TO%" queryTableFieldId="30" dataDxfId="24" dataCellStyle="Percent"/>
    <tableColumn id="34" xr3:uid="{CD094789-0844-4E1A-AD7F-807292039065}" uniqueName="34" name="GBR/Funding%" queryTableFieldId="34" dataDxfId="23" dataCellStyle="Percent"/>
    <tableColumn id="1" xr3:uid="{41B14C3D-115F-4977-AD46-20557DD4EE0C}" uniqueName="1" name="Turnover/Funding%" queryTableFieldId="35" dataDxfId="22" dataCellStyle="Percent"/>
    <tableColumn id="2" xr3:uid="{FFE7CB62-0CEE-462C-A38E-12773090A482}" uniqueName="2" name="Turnover Per Race" queryTableFieldId="36" dataDxfId="2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65" dataDxfId="64">
  <autoFilter ref="A1:Q4" xr:uid="{B67CE2EB-6461-438D-9D90-04FAB5E0E998}"/>
  <tableColumns count="17">
    <tableColumn id="1" xr3:uid="{8718D5F7-D725-4B51-B267-76F523470822}" uniqueName="1" name="Racing Season" queryTableFieldId="1" dataDxfId="20"/>
    <tableColumn id="2" xr3:uid="{7029A6C6-E60D-4D9F-B672-8A860CB1740B}" uniqueName="2" name="NZ Grouping" queryTableFieldId="2" dataDxfId="19"/>
    <tableColumn id="3" xr3:uid="{15510ACF-2CF3-4C13-BB1F-41CC7D335294}" uniqueName="3" name="Races" queryTableFieldId="3" dataDxfId="18"/>
    <tableColumn id="4" xr3:uid="{EDC5D6B2-9FA4-4BFC-912F-FC9FC4A2A0F5}" uniqueName="4" name="Starters" queryTableFieldId="4" dataDxfId="17"/>
    <tableColumn id="5" xr3:uid="{F8648A72-18A9-4F14-A462-67A4A3EC4763}" uniqueName="5" name="Ave. FS" queryTableFieldId="5" dataDxfId="16"/>
    <tableColumn id="6" xr3:uid="{F81FD6FE-3524-4C71-9AC5-9F8989374B41}" uniqueName="6" name="Fav. Win %" queryTableFieldId="6" dataDxfId="15" dataCellStyle="Percent"/>
    <tableColumn id="7" xr3:uid="{4812BBA7-D766-4EDA-AB9C-BD9D50E0100A}" uniqueName="7" name="HRNZ Funded Stakes" queryTableFieldId="7" dataDxfId="14"/>
    <tableColumn id="8" xr3:uid="{A84D9353-EA09-4CC9-8B86-0A73E7DB1240}" uniqueName="8" name="Ave. Race Stake" queryTableFieldId="8" dataDxfId="13"/>
    <tableColumn id="9" xr3:uid="{6C64D457-FA91-4C77-9875-87C48A0EA4DB}" uniqueName="9" name="GBR/Stake%" queryTableFieldId="9" dataDxfId="12" dataCellStyle="Percent"/>
    <tableColumn id="10" xr3:uid="{DFC55964-49E9-47D9-83B1-86D3EB378275}" uniqueName="10" name="Late Start %" queryTableFieldId="10" dataDxfId="11" dataCellStyle="Percent"/>
    <tableColumn id="11" xr3:uid="{18ED67E1-5EE2-4E0A-9141-0E84A94063D1}" uniqueName="11" name="Turnover" queryTableFieldId="11" dataDxfId="10"/>
    <tableColumn id="12" xr3:uid="{A56FB405-DF41-4EDB-AF86-18A961C0892E}" uniqueName="12" name="GBR" queryTableFieldId="12" dataDxfId="9"/>
    <tableColumn id="13" xr3:uid="{4FE2D30E-C7BB-453C-9BA1-B84B2E024505}" uniqueName="13" name="Funding" queryTableFieldId="13" dataDxfId="8"/>
    <tableColumn id="14" xr3:uid="{811018E5-7709-472D-B960-BB8A3CCD0E5E}" uniqueName="14" name="Export TO (AUD)" queryTableFieldId="14" dataDxfId="7"/>
    <tableColumn id="15" xr3:uid="{2E83DE80-75C7-4613-A6F8-FAE017EECD72}" uniqueName="15" name="GBR/TO%" queryTableFieldId="15" dataDxfId="6" dataCellStyle="Percent"/>
    <tableColumn id="16" xr3:uid="{A28B3E6E-A10F-4C2D-853D-165487E6B110}" uniqueName="16" name="GBR/Funding%" queryTableFieldId="16" dataDxfId="5" dataCellStyle="Percent"/>
    <tableColumn id="17" xr3:uid="{877123AB-DF10-46A4-9E3C-D2F490C0A5E8}" uniqueName="17" name="Turnover/Funding%" queryTableFieldId="17" dataDxfId="4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63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62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workbookViewId="0">
      <selection activeCell="H5" sqref="H5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46</v>
      </c>
      <c r="F1" s="13">
        <v>45160</v>
      </c>
      <c r="G1" t="s">
        <v>47</v>
      </c>
    </row>
    <row r="3" spans="1:7" x14ac:dyDescent="0.3">
      <c r="A3" s="2" t="s">
        <v>24</v>
      </c>
    </row>
    <row r="4" spans="1:7" x14ac:dyDescent="0.3">
      <c r="A4" t="s">
        <v>73</v>
      </c>
    </row>
    <row r="5" spans="1:7" x14ac:dyDescent="0.3">
      <c r="A5" t="s">
        <v>71</v>
      </c>
    </row>
    <row r="6" spans="1:7" x14ac:dyDescent="0.3">
      <c r="A6" t="s">
        <v>19</v>
      </c>
    </row>
    <row r="9" spans="1:7" x14ac:dyDescent="0.3">
      <c r="A9" s="2" t="s">
        <v>20</v>
      </c>
    </row>
    <row r="10" spans="1:7" x14ac:dyDescent="0.3">
      <c r="A10" t="s">
        <v>21</v>
      </c>
      <c r="B10" t="s">
        <v>22</v>
      </c>
    </row>
    <row r="11" spans="1:7" x14ac:dyDescent="0.3">
      <c r="A11" t="s">
        <v>44</v>
      </c>
      <c r="B11" t="s">
        <v>34</v>
      </c>
    </row>
    <row r="12" spans="1:7" x14ac:dyDescent="0.3">
      <c r="A12" t="s">
        <v>37</v>
      </c>
      <c r="B12" t="s">
        <v>36</v>
      </c>
    </row>
    <row r="13" spans="1:7" x14ac:dyDescent="0.3">
      <c r="B13" t="s">
        <v>35</v>
      </c>
    </row>
    <row r="14" spans="1:7" x14ac:dyDescent="0.3">
      <c r="A14" t="s">
        <v>38</v>
      </c>
      <c r="B14" t="s">
        <v>23</v>
      </c>
    </row>
    <row r="15" spans="1:7" x14ac:dyDescent="0.3">
      <c r="A15" t="s">
        <v>42</v>
      </c>
      <c r="B15" t="s">
        <v>45</v>
      </c>
    </row>
    <row r="16" spans="1:7" x14ac:dyDescent="0.3">
      <c r="A16" t="s">
        <v>69</v>
      </c>
      <c r="B16" t="s">
        <v>49</v>
      </c>
    </row>
    <row r="19" spans="1:2" x14ac:dyDescent="0.3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18"/>
  <sheetViews>
    <sheetView workbookViewId="0">
      <pane ySplit="1" topLeftCell="A2" activePane="bottomLeft" state="frozen"/>
      <selection pane="bottomLeft" activeCell="I16" sqref="I16"/>
    </sheetView>
  </sheetViews>
  <sheetFormatPr defaultColWidth="9.109375" defaultRowHeight="14.4" x14ac:dyDescent="0.3"/>
  <cols>
    <col min="1" max="1" width="14.6640625" style="3" bestFit="1" customWidth="1"/>
    <col min="2" max="2" width="8.77734375" style="3" bestFit="1" customWidth="1"/>
    <col min="3" max="3" width="30.5546875" style="3" bestFit="1" customWidth="1"/>
    <col min="4" max="4" width="14" style="3" bestFit="1" customWidth="1"/>
    <col min="5" max="5" width="8" style="3" bestFit="1" customWidth="1"/>
    <col min="6" max="6" width="9.88671875" style="3" bestFit="1" customWidth="1"/>
    <col min="7" max="7" width="9.44140625" style="3" bestFit="1" customWidth="1"/>
    <col min="8" max="8" width="12.6640625" style="4" bestFit="1" customWidth="1"/>
    <col min="9" max="9" width="21.109375" style="5" bestFit="1" customWidth="1"/>
    <col min="10" max="10" width="16.77734375" style="5" bestFit="1" customWidth="1"/>
    <col min="11" max="11" width="13.88671875" style="4" bestFit="1" customWidth="1"/>
    <col min="12" max="12" width="13.21875" style="4" bestFit="1" customWidth="1"/>
    <col min="13" max="13" width="11" style="5" bestFit="1" customWidth="1"/>
    <col min="14" max="14" width="8.44140625" style="5" bestFit="1" customWidth="1"/>
    <col min="15" max="15" width="10.109375" style="5" bestFit="1" customWidth="1"/>
    <col min="16" max="16" width="17.33203125" style="5" bestFit="1" customWidth="1"/>
    <col min="17" max="17" width="11.5546875" style="4" bestFit="1" customWidth="1"/>
    <col min="18" max="18" width="16.21875" style="4" bestFit="1" customWidth="1"/>
    <col min="19" max="19" width="20.5546875" style="9" bestFit="1" customWidth="1"/>
    <col min="20" max="20" width="19.33203125" style="9" bestFit="1" customWidth="1"/>
    <col min="21" max="21" width="15" style="4" bestFit="1" customWidth="1"/>
    <col min="22" max="22" width="19.88671875" style="4" bestFit="1" customWidth="1"/>
    <col min="23" max="23" width="25.77734375" style="3" bestFit="1" customWidth="1"/>
    <col min="24" max="16384" width="9.109375" style="3"/>
  </cols>
  <sheetData>
    <row r="1" spans="1:23" x14ac:dyDescent="0.3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3">
      <c r="A2" s="8">
        <v>45141</v>
      </c>
      <c r="B2" s="32" t="s">
        <v>31</v>
      </c>
      <c r="C2" s="32" t="s">
        <v>0</v>
      </c>
      <c r="D2" s="32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0.76900000000000002</v>
      </c>
      <c r="L2" s="4">
        <v>0.1</v>
      </c>
      <c r="M2" s="5">
        <v>730860</v>
      </c>
      <c r="N2" s="5">
        <v>118654</v>
      </c>
      <c r="O2" s="5">
        <v>154475</v>
      </c>
      <c r="P2" s="5">
        <v>348399</v>
      </c>
      <c r="Q2" s="4">
        <v>0.16200000000000001</v>
      </c>
      <c r="R2" s="4">
        <v>0.76800000000000002</v>
      </c>
      <c r="S2" s="18">
        <v>4.7309999999999999</v>
      </c>
      <c r="T2" s="10">
        <v>641930</v>
      </c>
      <c r="U2" s="10">
        <v>138825</v>
      </c>
      <c r="V2" s="11">
        <v>0.216</v>
      </c>
      <c r="W2" s="12">
        <f>IF(raceday_22_23[[#This Row],[Last Year Turnover]]&lt;&gt;0, raceday_22_23[[#This Row],[GBR/TO%]]-raceday_22_23[[#This Row],[Last Year GBR/TO%]], 0)</f>
        <v>-5.3999999999999992E-2</v>
      </c>
    </row>
    <row r="3" spans="1:23" x14ac:dyDescent="0.3">
      <c r="A3" s="8">
        <v>45142</v>
      </c>
      <c r="B3" s="32" t="s">
        <v>32</v>
      </c>
      <c r="C3" s="32" t="s">
        <v>1</v>
      </c>
      <c r="D3" s="32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157352</v>
      </c>
      <c r="O3" s="5">
        <v>118327.5</v>
      </c>
      <c r="P3" s="5">
        <v>271604</v>
      </c>
      <c r="Q3" s="4">
        <v>0.184</v>
      </c>
      <c r="R3" s="4">
        <v>1.33</v>
      </c>
      <c r="S3" s="18">
        <v>7.2320000000000002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3">
      <c r="A4" s="8">
        <v>45144</v>
      </c>
      <c r="B4" s="32" t="s">
        <v>33</v>
      </c>
      <c r="C4" s="32" t="s">
        <v>1</v>
      </c>
      <c r="D4" s="32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63036</v>
      </c>
      <c r="O4" s="5">
        <v>0</v>
      </c>
      <c r="P4" s="5">
        <v>147684</v>
      </c>
      <c r="Q4" s="4">
        <v>0.112</v>
      </c>
      <c r="R4" s="4">
        <v>0</v>
      </c>
      <c r="S4" s="18">
        <v>0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3">
      <c r="A5" s="8">
        <v>45148</v>
      </c>
      <c r="B5" s="32" t="s">
        <v>31</v>
      </c>
      <c r="C5" s="32" t="s">
        <v>75</v>
      </c>
      <c r="D5" s="32" t="s">
        <v>76</v>
      </c>
      <c r="E5" s="3">
        <v>7</v>
      </c>
      <c r="F5" s="3">
        <v>63</v>
      </c>
      <c r="G5" s="3">
        <v>9</v>
      </c>
      <c r="H5" s="4">
        <v>0.57099999999999995</v>
      </c>
      <c r="I5" s="5">
        <v>75625</v>
      </c>
      <c r="J5" s="5">
        <v>10804</v>
      </c>
      <c r="K5" s="4">
        <v>0.69799999999999995</v>
      </c>
      <c r="L5" s="4">
        <v>0.14299999999999999</v>
      </c>
      <c r="M5" s="5">
        <v>368088</v>
      </c>
      <c r="N5" s="5">
        <v>52774</v>
      </c>
      <c r="O5" s="5">
        <v>0</v>
      </c>
      <c r="P5" s="5">
        <v>158909</v>
      </c>
      <c r="Q5" s="4">
        <v>0.14299999999999999</v>
      </c>
      <c r="R5" s="4">
        <v>0</v>
      </c>
      <c r="S5" s="18">
        <v>0</v>
      </c>
      <c r="T5" s="10">
        <v>0</v>
      </c>
      <c r="U5" s="10">
        <v>0</v>
      </c>
      <c r="V5" s="11">
        <v>0</v>
      </c>
      <c r="W5" s="12">
        <f>IF(raceday_22_23[[#This Row],[Last Year Turnover]]&lt;&gt;0, raceday_22_23[[#This Row],[GBR/TO%]]-raceday_22_23[[#This Row],[Last Year GBR/TO%]], 0)</f>
        <v>0</v>
      </c>
    </row>
    <row r="6" spans="1:23" x14ac:dyDescent="0.3">
      <c r="A6" s="8">
        <v>45148</v>
      </c>
      <c r="B6" s="32" t="s">
        <v>31</v>
      </c>
      <c r="C6" s="32" t="s">
        <v>77</v>
      </c>
      <c r="D6" s="32" t="s">
        <v>26</v>
      </c>
      <c r="E6" s="3">
        <v>9</v>
      </c>
      <c r="F6" s="3">
        <v>80</v>
      </c>
      <c r="G6" s="3">
        <v>8.9</v>
      </c>
      <c r="H6" s="4">
        <v>0.77800000000000002</v>
      </c>
      <c r="I6" s="5">
        <v>104567</v>
      </c>
      <c r="J6" s="5">
        <v>11619</v>
      </c>
      <c r="K6" s="4">
        <v>6.6000000000000003E-2</v>
      </c>
      <c r="L6" s="4">
        <v>0.111</v>
      </c>
      <c r="M6" s="5">
        <v>567169</v>
      </c>
      <c r="N6" s="5">
        <v>6869</v>
      </c>
      <c r="O6" s="5">
        <v>0</v>
      </c>
      <c r="P6" s="5">
        <v>269201</v>
      </c>
      <c r="Q6" s="4">
        <v>1.2E-2</v>
      </c>
      <c r="R6" s="4">
        <v>0</v>
      </c>
      <c r="S6" s="18">
        <v>0</v>
      </c>
      <c r="T6" s="10">
        <v>576760</v>
      </c>
      <c r="U6" s="10">
        <v>81861</v>
      </c>
      <c r="V6" s="11">
        <v>0.14199999999999999</v>
      </c>
      <c r="W6" s="12">
        <f>IF(raceday_22_23[[#This Row],[Last Year Turnover]]&lt;&gt;0, raceday_22_23[[#This Row],[GBR/TO%]]-raceday_22_23[[#This Row],[Last Year GBR/TO%]], 0)</f>
        <v>-0.12999999999999998</v>
      </c>
    </row>
    <row r="7" spans="1:23" x14ac:dyDescent="0.3">
      <c r="A7" s="8">
        <v>45149</v>
      </c>
      <c r="B7" s="32" t="s">
        <v>32</v>
      </c>
      <c r="C7" s="32" t="s">
        <v>1</v>
      </c>
      <c r="D7" s="32" t="s">
        <v>27</v>
      </c>
      <c r="E7" s="3">
        <v>9</v>
      </c>
      <c r="F7" s="3">
        <v>77</v>
      </c>
      <c r="G7" s="3">
        <v>8.6</v>
      </c>
      <c r="H7" s="4">
        <v>0.66700000000000004</v>
      </c>
      <c r="I7" s="5">
        <v>123433</v>
      </c>
      <c r="J7" s="5">
        <v>13715</v>
      </c>
      <c r="K7" s="4">
        <v>0.70799999999999996</v>
      </c>
      <c r="L7" s="4">
        <v>0</v>
      </c>
      <c r="M7" s="5">
        <v>800305</v>
      </c>
      <c r="N7" s="5">
        <v>87403</v>
      </c>
      <c r="O7" s="5">
        <v>0</v>
      </c>
      <c r="P7" s="5">
        <v>260712</v>
      </c>
      <c r="Q7" s="4">
        <v>0.109</v>
      </c>
      <c r="R7" s="4">
        <v>0</v>
      </c>
      <c r="S7" s="18">
        <v>0</v>
      </c>
      <c r="T7" s="10">
        <v>964789</v>
      </c>
      <c r="U7" s="10">
        <v>108826</v>
      </c>
      <c r="V7" s="11">
        <v>0.113</v>
      </c>
      <c r="W7" s="12">
        <f>IF(raceday_22_23[[#This Row],[Last Year Turnover]]&lt;&gt;0, raceday_22_23[[#This Row],[GBR/TO%]]-raceday_22_23[[#This Row],[Last Year GBR/TO%]], 0)</f>
        <v>-4.0000000000000036E-3</v>
      </c>
    </row>
    <row r="8" spans="1:23" x14ac:dyDescent="0.3">
      <c r="A8" s="8">
        <v>45151</v>
      </c>
      <c r="B8" s="32" t="s">
        <v>33</v>
      </c>
      <c r="C8" s="32" t="s">
        <v>78</v>
      </c>
      <c r="D8" s="32" t="s">
        <v>27</v>
      </c>
      <c r="E8" s="3">
        <v>8</v>
      </c>
      <c r="F8" s="3">
        <v>92</v>
      </c>
      <c r="G8" s="3">
        <v>11.5</v>
      </c>
      <c r="H8" s="4">
        <v>0.375</v>
      </c>
      <c r="I8" s="5">
        <v>82265</v>
      </c>
      <c r="J8" s="5">
        <v>10283</v>
      </c>
      <c r="K8" s="4">
        <v>2.2930000000000001</v>
      </c>
      <c r="L8" s="4">
        <v>0.25</v>
      </c>
      <c r="M8" s="5">
        <v>818411</v>
      </c>
      <c r="N8" s="5">
        <v>188674</v>
      </c>
      <c r="O8" s="5">
        <v>0</v>
      </c>
      <c r="P8" s="5">
        <v>207416</v>
      </c>
      <c r="Q8" s="4">
        <v>0.23100000000000001</v>
      </c>
      <c r="R8" s="4">
        <v>0</v>
      </c>
      <c r="S8" s="18">
        <v>0</v>
      </c>
      <c r="T8" s="10">
        <v>622417</v>
      </c>
      <c r="U8" s="10">
        <v>110148</v>
      </c>
      <c r="V8" s="11">
        <v>0.17699999999999999</v>
      </c>
      <c r="W8" s="12">
        <f>IF(raceday_22_23[[#This Row],[Last Year Turnover]]&lt;&gt;0, raceday_22_23[[#This Row],[GBR/TO%]]-raceday_22_23[[#This Row],[Last Year GBR/TO%]], 0)</f>
        <v>5.400000000000002E-2</v>
      </c>
    </row>
    <row r="9" spans="1:23" x14ac:dyDescent="0.3">
      <c r="A9" s="8">
        <v>45155</v>
      </c>
      <c r="B9" s="32" t="s">
        <v>31</v>
      </c>
      <c r="C9" s="32" t="s">
        <v>0</v>
      </c>
      <c r="D9" s="32" t="s">
        <v>26</v>
      </c>
      <c r="E9" s="3">
        <v>8</v>
      </c>
      <c r="F9" s="3">
        <v>72</v>
      </c>
      <c r="G9" s="3">
        <v>9</v>
      </c>
      <c r="H9" s="4">
        <v>0.25</v>
      </c>
      <c r="I9" s="5">
        <v>122262</v>
      </c>
      <c r="J9" s="5">
        <v>15283</v>
      </c>
      <c r="K9" s="4">
        <v>1.1279999999999999</v>
      </c>
      <c r="L9" s="4">
        <v>0</v>
      </c>
      <c r="M9" s="5">
        <v>580961</v>
      </c>
      <c r="N9" s="5">
        <v>137861</v>
      </c>
      <c r="O9" s="5">
        <v>0</v>
      </c>
      <c r="P9" s="5">
        <v>0</v>
      </c>
      <c r="Q9" s="4">
        <v>0.23699999999999999</v>
      </c>
      <c r="R9" s="4">
        <v>0</v>
      </c>
      <c r="S9" s="18">
        <v>0</v>
      </c>
      <c r="T9" s="10">
        <v>681156</v>
      </c>
      <c r="U9" s="10">
        <v>98043</v>
      </c>
      <c r="V9" s="11">
        <v>0.14399999999999999</v>
      </c>
      <c r="W9" s="12">
        <f>IF(raceday_22_23[[#This Row],[Last Year Turnover]]&lt;&gt;0, raceday_22_23[[#This Row],[GBR/TO%]]-raceday_22_23[[#This Row],[Last Year GBR/TO%]], 0)</f>
        <v>9.2999999999999999E-2</v>
      </c>
    </row>
    <row r="10" spans="1:23" x14ac:dyDescent="0.3">
      <c r="A10" s="8">
        <v>45156</v>
      </c>
      <c r="B10" s="32" t="s">
        <v>32</v>
      </c>
      <c r="C10" s="32" t="s">
        <v>1</v>
      </c>
      <c r="D10" s="32" t="s">
        <v>27</v>
      </c>
      <c r="E10" s="3">
        <v>9</v>
      </c>
      <c r="F10" s="3">
        <v>86</v>
      </c>
      <c r="G10" s="3">
        <v>9.6</v>
      </c>
      <c r="H10" s="4">
        <v>0.44400000000000001</v>
      </c>
      <c r="I10" s="5">
        <v>124630</v>
      </c>
      <c r="J10" s="5">
        <v>13848</v>
      </c>
      <c r="K10" s="4">
        <v>1.855</v>
      </c>
      <c r="L10" s="4">
        <v>0</v>
      </c>
      <c r="M10" s="5">
        <v>869712</v>
      </c>
      <c r="N10" s="5">
        <v>231139</v>
      </c>
      <c r="O10" s="5">
        <v>0</v>
      </c>
      <c r="P10" s="5">
        <v>0</v>
      </c>
      <c r="Q10" s="4">
        <v>0.26600000000000001</v>
      </c>
      <c r="R10" s="4">
        <v>0</v>
      </c>
      <c r="S10" s="18">
        <v>0</v>
      </c>
      <c r="T10" s="10">
        <v>949321</v>
      </c>
      <c r="U10" s="10">
        <v>249132</v>
      </c>
      <c r="V10" s="11">
        <v>0.26200000000000001</v>
      </c>
      <c r="W10" s="12">
        <f>IF(raceday_22_23[[#This Row],[Last Year Turnover]]&lt;&gt;0, raceday_22_23[[#This Row],[GBR/TO%]]-raceday_22_23[[#This Row],[Last Year GBR/TO%]], 0)</f>
        <v>4.0000000000000036E-3</v>
      </c>
    </row>
    <row r="11" spans="1:23" x14ac:dyDescent="0.3">
      <c r="A11" s="8">
        <v>45158</v>
      </c>
      <c r="B11" s="32" t="s">
        <v>33</v>
      </c>
      <c r="C11" s="32" t="s">
        <v>79</v>
      </c>
      <c r="D11" s="32" t="s">
        <v>76</v>
      </c>
      <c r="E11" s="3">
        <v>10</v>
      </c>
      <c r="F11" s="3">
        <v>93</v>
      </c>
      <c r="G11" s="3">
        <v>9.3000000000000007</v>
      </c>
      <c r="H11" s="4">
        <v>0.2</v>
      </c>
      <c r="I11" s="5">
        <v>128402</v>
      </c>
      <c r="J11" s="5">
        <v>12840</v>
      </c>
      <c r="K11" s="4">
        <v>1.4910000000000001</v>
      </c>
      <c r="L11" s="4">
        <v>0.3</v>
      </c>
      <c r="M11" s="5">
        <v>897867</v>
      </c>
      <c r="N11" s="5">
        <v>191496</v>
      </c>
      <c r="O11" s="5">
        <v>0</v>
      </c>
      <c r="P11" s="5">
        <v>0</v>
      </c>
      <c r="Q11" s="4">
        <v>0.21299999999999999</v>
      </c>
      <c r="R11" s="4">
        <v>0</v>
      </c>
      <c r="S11" s="18">
        <v>0</v>
      </c>
      <c r="T11" s="10">
        <v>810606</v>
      </c>
      <c r="U11" s="10">
        <v>163869</v>
      </c>
      <c r="V11" s="11">
        <v>0.20200000000000001</v>
      </c>
      <c r="W11" s="12">
        <f>IF(raceday_22_23[[#This Row],[Last Year Turnover]]&lt;&gt;0, raceday_22_23[[#This Row],[GBR/TO%]]-raceday_22_23[[#This Row],[Last Year GBR/TO%]], 0)</f>
        <v>1.0999999999999982E-2</v>
      </c>
    </row>
    <row r="12" spans="1:23" x14ac:dyDescent="0.3">
      <c r="O12" s="4"/>
    </row>
    <row r="13" spans="1:23" x14ac:dyDescent="0.3">
      <c r="O13" s="4"/>
    </row>
    <row r="14" spans="1:23" x14ac:dyDescent="0.3">
      <c r="O14" s="21"/>
      <c r="P14" s="4"/>
    </row>
    <row r="18" spans="21:21" x14ac:dyDescent="0.3">
      <c r="U18" s="20"/>
    </row>
  </sheetData>
  <phoneticPr fontId="4" type="noConversion"/>
  <conditionalFormatting sqref="W2:W1048576">
    <cfRule type="cellIs" dxfId="3" priority="1" operator="lessThan">
      <formula>0</formula>
    </cfRule>
    <cfRule type="cellIs" dxfId="2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12"/>
  <sheetViews>
    <sheetView workbookViewId="0">
      <selection activeCell="E33" sqref="E33"/>
    </sheetView>
  </sheetViews>
  <sheetFormatPr defaultColWidth="9.109375" defaultRowHeight="14.4" x14ac:dyDescent="0.3"/>
  <cols>
    <col min="1" max="1" width="15.44140625" style="3" bestFit="1" customWidth="1"/>
    <col min="2" max="2" width="30.5546875" style="3" bestFit="1" customWidth="1"/>
    <col min="3" max="3" width="8" style="3" bestFit="1" customWidth="1"/>
    <col min="4" max="4" width="9.88671875" style="3" bestFit="1" customWidth="1"/>
    <col min="5" max="5" width="9.44140625" style="3" bestFit="1" customWidth="1"/>
    <col min="6" max="6" width="12.6640625" style="4" bestFit="1" customWidth="1"/>
    <col min="7" max="7" width="21.109375" style="5" bestFit="1" customWidth="1"/>
    <col min="8" max="8" width="16.77734375" style="5" bestFit="1" customWidth="1"/>
    <col min="9" max="9" width="13.88671875" style="4" bestFit="1" customWidth="1"/>
    <col min="10" max="10" width="13.21875" style="4" bestFit="1" customWidth="1"/>
    <col min="11" max="11" width="11" style="5" bestFit="1" customWidth="1"/>
    <col min="12" max="12" width="8.44140625" style="5" bestFit="1" customWidth="1"/>
    <col min="13" max="13" width="10.109375" style="5" bestFit="1" customWidth="1"/>
    <col min="14" max="14" width="17.33203125" style="5" bestFit="1" customWidth="1"/>
    <col min="15" max="15" width="11.5546875" style="4" bestFit="1" customWidth="1"/>
    <col min="16" max="16" width="16.21875" style="6" bestFit="1" customWidth="1"/>
    <col min="17" max="17" width="20.5546875" style="4" bestFit="1" customWidth="1"/>
    <col min="18" max="18" width="21.21875" style="23" bestFit="1" customWidth="1"/>
    <col min="19" max="19" width="5.33203125" style="4" bestFit="1" customWidth="1"/>
    <col min="20" max="20" width="16.6640625" style="4" bestFit="1" customWidth="1"/>
    <col min="21" max="21" width="15.88671875" style="3" bestFit="1" customWidth="1"/>
    <col min="22" max="22" width="32.5546875" style="3" bestFit="1" customWidth="1"/>
    <col min="23" max="23" width="13" style="3" bestFit="1" customWidth="1"/>
    <col min="24" max="24" width="15.109375" style="3" bestFit="1" customWidth="1"/>
    <col min="25" max="25" width="16.109375" style="3" bestFit="1" customWidth="1"/>
    <col min="26" max="26" width="15.109375" style="3" bestFit="1" customWidth="1"/>
    <col min="27" max="27" width="14" style="3" bestFit="1" customWidth="1"/>
    <col min="28" max="28" width="17" style="3" bestFit="1" customWidth="1"/>
    <col min="29" max="29" width="10.88671875" style="3" bestFit="1" customWidth="1"/>
    <col min="30" max="30" width="12.109375" style="3" bestFit="1" customWidth="1"/>
    <col min="31" max="31" width="18.44140625" style="3" bestFit="1" customWidth="1"/>
    <col min="32" max="32" width="20.88671875" style="3" bestFit="1" customWidth="1"/>
    <col min="33" max="33" width="12.44140625" style="3" bestFit="1" customWidth="1"/>
    <col min="34" max="34" width="12.5546875" style="3" bestFit="1" customWidth="1"/>
    <col min="35" max="35" width="18.109375" style="3" bestFit="1" customWidth="1"/>
    <col min="36" max="16384" width="9.109375" style="3"/>
  </cols>
  <sheetData>
    <row r="1" spans="1:20" x14ac:dyDescent="0.3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5" t="s">
        <v>7</v>
      </c>
      <c r="G1" s="16" t="s">
        <v>8</v>
      </c>
      <c r="H1" s="16" t="s">
        <v>9</v>
      </c>
      <c r="I1" s="15" t="s">
        <v>10</v>
      </c>
      <c r="J1" s="15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5" t="s">
        <v>16</v>
      </c>
      <c r="P1" s="17" t="s">
        <v>17</v>
      </c>
      <c r="Q1" s="11" t="s">
        <v>48</v>
      </c>
      <c r="R1" s="24" t="s">
        <v>70</v>
      </c>
      <c r="S1" s="3"/>
      <c r="T1" s="3"/>
    </row>
    <row r="2" spans="1:20" x14ac:dyDescent="0.3">
      <c r="A2" s="32" t="s">
        <v>72</v>
      </c>
      <c r="B2" s="32" t="s">
        <v>78</v>
      </c>
      <c r="C2" s="3">
        <v>8</v>
      </c>
      <c r="D2" s="3">
        <v>92</v>
      </c>
      <c r="E2" s="3">
        <v>11.5</v>
      </c>
      <c r="F2" s="4">
        <v>0.375</v>
      </c>
      <c r="G2" s="5">
        <v>82265</v>
      </c>
      <c r="H2" s="5">
        <v>10283.1</v>
      </c>
      <c r="I2" s="4">
        <v>2.2930000000000001</v>
      </c>
      <c r="J2" s="4">
        <v>0.25</v>
      </c>
      <c r="K2" s="5">
        <v>818411</v>
      </c>
      <c r="L2" s="5">
        <v>188674</v>
      </c>
      <c r="M2" s="5">
        <v>0</v>
      </c>
      <c r="N2" s="5">
        <v>207416</v>
      </c>
      <c r="O2" s="4">
        <v>0.23100000000000001</v>
      </c>
      <c r="P2" s="4">
        <v>0</v>
      </c>
      <c r="Q2" s="11">
        <v>0</v>
      </c>
      <c r="R2" s="22">
        <f>club_summary_data_22_23[[#This Row],[Turnover]]/club_summary_data_22_23[[#This Row],[Races]]</f>
        <v>102301.375</v>
      </c>
      <c r="S2" s="3"/>
      <c r="T2" s="3"/>
    </row>
    <row r="3" spans="1:20" x14ac:dyDescent="0.3">
      <c r="A3" s="32" t="s">
        <v>72</v>
      </c>
      <c r="B3" s="32" t="s">
        <v>0</v>
      </c>
      <c r="C3" s="3">
        <v>18</v>
      </c>
      <c r="D3" s="3">
        <v>159</v>
      </c>
      <c r="E3" s="3">
        <v>8.8000000000000007</v>
      </c>
      <c r="F3" s="4">
        <v>0.27800000000000002</v>
      </c>
      <c r="G3" s="5">
        <v>276638</v>
      </c>
      <c r="H3" s="5">
        <v>15368.8</v>
      </c>
      <c r="I3" s="4">
        <v>0.92700000000000005</v>
      </c>
      <c r="J3" s="4">
        <v>5.6000000000000001E-2</v>
      </c>
      <c r="K3" s="5">
        <v>1311821</v>
      </c>
      <c r="L3" s="5">
        <v>256515</v>
      </c>
      <c r="M3" s="5">
        <v>154475</v>
      </c>
      <c r="N3" s="5">
        <v>348399</v>
      </c>
      <c r="O3" s="4">
        <v>0.19600000000000001</v>
      </c>
      <c r="P3" s="4">
        <v>1.661</v>
      </c>
      <c r="Q3" s="11">
        <v>8.4920000000000009</v>
      </c>
      <c r="R3" s="22">
        <f>club_summary_data_22_23[[#This Row],[Turnover]]/club_summary_data_22_23[[#This Row],[Races]]</f>
        <v>72878.944444444438</v>
      </c>
      <c r="S3" s="3"/>
      <c r="T3" s="3"/>
    </row>
    <row r="4" spans="1:20" x14ac:dyDescent="0.3">
      <c r="A4" s="32" t="s">
        <v>72</v>
      </c>
      <c r="B4" s="32" t="s">
        <v>79</v>
      </c>
      <c r="C4" s="3">
        <v>10</v>
      </c>
      <c r="D4" s="3">
        <v>93</v>
      </c>
      <c r="E4" s="3">
        <v>9.3000000000000007</v>
      </c>
      <c r="F4" s="4">
        <v>0.2</v>
      </c>
      <c r="G4" s="5">
        <v>128402</v>
      </c>
      <c r="H4" s="5">
        <v>12840.2</v>
      </c>
      <c r="I4" s="4">
        <v>1.4910000000000001</v>
      </c>
      <c r="J4" s="4">
        <v>0.3</v>
      </c>
      <c r="K4" s="5">
        <v>897867</v>
      </c>
      <c r="L4" s="5">
        <v>191496</v>
      </c>
      <c r="M4" s="5">
        <v>0</v>
      </c>
      <c r="N4" s="5">
        <v>0</v>
      </c>
      <c r="O4" s="4">
        <v>0.21299999999999999</v>
      </c>
      <c r="P4" s="4">
        <v>0</v>
      </c>
      <c r="Q4" s="11">
        <v>0</v>
      </c>
      <c r="R4" s="22"/>
      <c r="S4" s="3"/>
      <c r="T4" s="3"/>
    </row>
    <row r="5" spans="1:20" x14ac:dyDescent="0.3">
      <c r="A5" s="32" t="s">
        <v>72</v>
      </c>
      <c r="B5" s="32" t="s">
        <v>1</v>
      </c>
      <c r="C5" s="3">
        <v>35</v>
      </c>
      <c r="D5" s="3">
        <v>328</v>
      </c>
      <c r="E5" s="3">
        <v>9.4</v>
      </c>
      <c r="F5" s="4">
        <v>0.48599999999999999</v>
      </c>
      <c r="G5" s="5">
        <v>444192</v>
      </c>
      <c r="H5" s="5">
        <v>12691.2</v>
      </c>
      <c r="I5" s="4">
        <v>1.2130000000000001</v>
      </c>
      <c r="J5" s="4">
        <v>0.114</v>
      </c>
      <c r="K5" s="5">
        <v>3090546</v>
      </c>
      <c r="L5" s="5">
        <v>538930</v>
      </c>
      <c r="M5" s="5">
        <v>118327.5</v>
      </c>
      <c r="N5" s="5">
        <v>680000</v>
      </c>
      <c r="O5" s="4">
        <v>0.17399999999999999</v>
      </c>
      <c r="P5" s="4">
        <v>4.5549999999999997</v>
      </c>
      <c r="Q5" s="11">
        <v>26.119</v>
      </c>
      <c r="R5" s="22"/>
      <c r="S5" s="3"/>
      <c r="T5" s="3"/>
    </row>
    <row r="6" spans="1:20" x14ac:dyDescent="0.3">
      <c r="A6" s="32" t="s">
        <v>72</v>
      </c>
      <c r="B6" s="32" t="s">
        <v>77</v>
      </c>
      <c r="C6" s="3">
        <v>9</v>
      </c>
      <c r="D6" s="3">
        <v>80</v>
      </c>
      <c r="E6" s="3">
        <v>8.9</v>
      </c>
      <c r="F6" s="4">
        <v>0.77800000000000002</v>
      </c>
      <c r="G6" s="5">
        <v>104567</v>
      </c>
      <c r="H6" s="5">
        <v>11618.6</v>
      </c>
      <c r="I6" s="4">
        <v>6.6000000000000003E-2</v>
      </c>
      <c r="J6" s="4">
        <v>0.111</v>
      </c>
      <c r="K6" s="5">
        <v>567169</v>
      </c>
      <c r="L6" s="5">
        <v>6869</v>
      </c>
      <c r="M6" s="5">
        <v>0</v>
      </c>
      <c r="N6" s="5">
        <v>269201</v>
      </c>
      <c r="O6" s="4">
        <v>1.2E-2</v>
      </c>
      <c r="P6" s="4">
        <v>0</v>
      </c>
      <c r="Q6" s="11">
        <v>0</v>
      </c>
      <c r="R6" s="22"/>
      <c r="S6" s="3"/>
      <c r="T6" s="3"/>
    </row>
    <row r="7" spans="1:20" x14ac:dyDescent="0.3">
      <c r="A7" s="32" t="s">
        <v>72</v>
      </c>
      <c r="B7" s="32" t="s">
        <v>75</v>
      </c>
      <c r="C7" s="3">
        <v>7</v>
      </c>
      <c r="D7" s="3">
        <v>63</v>
      </c>
      <c r="E7" s="3">
        <v>9</v>
      </c>
      <c r="F7" s="4">
        <v>0.57099999999999995</v>
      </c>
      <c r="G7" s="5">
        <v>75625</v>
      </c>
      <c r="H7" s="5">
        <v>10803.6</v>
      </c>
      <c r="I7" s="4">
        <v>0.69799999999999995</v>
      </c>
      <c r="J7" s="4">
        <v>0.14299999999999999</v>
      </c>
      <c r="K7" s="5">
        <v>368088</v>
      </c>
      <c r="L7" s="5">
        <v>52774</v>
      </c>
      <c r="M7" s="5">
        <v>0</v>
      </c>
      <c r="N7" s="5">
        <v>158909</v>
      </c>
      <c r="O7" s="4">
        <v>0.14299999999999999</v>
      </c>
      <c r="P7" s="4">
        <v>0</v>
      </c>
      <c r="Q7" s="11">
        <v>0</v>
      </c>
      <c r="R7" s="22"/>
      <c r="S7" s="3"/>
      <c r="T7" s="3"/>
    </row>
    <row r="8" spans="1:20" x14ac:dyDescent="0.3">
      <c r="S8" s="3"/>
      <c r="T8" s="3"/>
    </row>
    <row r="9" spans="1:20" x14ac:dyDescent="0.3">
      <c r="S9" s="3"/>
      <c r="T9" s="3"/>
    </row>
    <row r="10" spans="1:20" x14ac:dyDescent="0.3">
      <c r="M10" s="4"/>
      <c r="S10" s="3"/>
      <c r="T10" s="3"/>
    </row>
    <row r="11" spans="1:20" x14ac:dyDescent="0.3">
      <c r="S11" s="3"/>
      <c r="T11" s="3"/>
    </row>
    <row r="12" spans="1:20" x14ac:dyDescent="0.3">
      <c r="S12" s="3"/>
      <c r="T12" s="3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tabSelected="1" workbookViewId="0">
      <selection activeCell="R9" sqref="R9:S13"/>
    </sheetView>
  </sheetViews>
  <sheetFormatPr defaultColWidth="9.109375" defaultRowHeight="14.4" x14ac:dyDescent="0.3"/>
  <cols>
    <col min="1" max="1" width="15.44140625" style="3" bestFit="1" customWidth="1"/>
    <col min="2" max="2" width="14" style="3" bestFit="1" customWidth="1"/>
    <col min="3" max="3" width="8" style="3" bestFit="1" customWidth="1"/>
    <col min="4" max="4" width="9.88671875" style="3" bestFit="1" customWidth="1"/>
    <col min="5" max="5" width="9.44140625" style="3" bestFit="1" customWidth="1"/>
    <col min="6" max="6" width="12.6640625" style="3" bestFit="1" customWidth="1"/>
    <col min="7" max="7" width="21.109375" style="3" bestFit="1" customWidth="1"/>
    <col min="8" max="8" width="16.77734375" style="3" bestFit="1" customWidth="1"/>
    <col min="9" max="9" width="13.88671875" style="3" bestFit="1" customWidth="1"/>
    <col min="10" max="10" width="13.21875" style="3" bestFit="1" customWidth="1"/>
    <col min="11" max="11" width="11" style="3" bestFit="1" customWidth="1"/>
    <col min="12" max="12" width="8.44140625" style="3" bestFit="1" customWidth="1"/>
    <col min="13" max="13" width="10.109375" style="3" bestFit="1" customWidth="1"/>
    <col min="14" max="14" width="17.33203125" style="3" bestFit="1" customWidth="1"/>
    <col min="15" max="15" width="11.5546875" style="3" bestFit="1" customWidth="1"/>
    <col min="16" max="16" width="16.21875" style="3" bestFit="1" customWidth="1"/>
    <col min="17" max="17" width="20.5546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3">
      <c r="A2" s="3" t="s">
        <v>72</v>
      </c>
      <c r="B2" s="3" t="s">
        <v>26</v>
      </c>
      <c r="C2" s="3">
        <v>27</v>
      </c>
      <c r="D2" s="3">
        <v>239</v>
      </c>
      <c r="E2" s="3">
        <v>8.9</v>
      </c>
      <c r="F2" s="4">
        <v>0.44400000000000001</v>
      </c>
      <c r="G2" s="5">
        <v>381205</v>
      </c>
      <c r="H2" s="5">
        <v>14118.7</v>
      </c>
      <c r="I2" s="4">
        <v>0.69099999999999995</v>
      </c>
      <c r="J2" s="4">
        <v>7.3999999999999996E-2</v>
      </c>
      <c r="K2" s="5">
        <v>1878990</v>
      </c>
      <c r="L2" s="5">
        <v>263384</v>
      </c>
      <c r="M2" s="5">
        <v>154475</v>
      </c>
      <c r="N2" s="5">
        <v>617600</v>
      </c>
      <c r="O2" s="4">
        <v>0.14000000000000001</v>
      </c>
      <c r="P2" s="4">
        <v>1.7050000000000001</v>
      </c>
      <c r="Q2" s="4">
        <v>12.164</v>
      </c>
    </row>
    <row r="3" spans="1:19" x14ac:dyDescent="0.3">
      <c r="A3" s="3" t="s">
        <v>72</v>
      </c>
      <c r="B3" s="3" t="s">
        <v>27</v>
      </c>
      <c r="C3" s="3">
        <v>43</v>
      </c>
      <c r="D3" s="3">
        <v>420</v>
      </c>
      <c r="E3" s="3">
        <v>9.8000000000000007</v>
      </c>
      <c r="F3" s="4">
        <v>0.46500000000000002</v>
      </c>
      <c r="G3" s="5">
        <v>526457</v>
      </c>
      <c r="H3" s="5">
        <v>12243.2</v>
      </c>
      <c r="I3" s="4">
        <v>1.3819999999999999</v>
      </c>
      <c r="J3" s="4">
        <v>0.14000000000000001</v>
      </c>
      <c r="K3" s="5">
        <v>3908957</v>
      </c>
      <c r="L3" s="5">
        <v>727604</v>
      </c>
      <c r="M3" s="5">
        <v>118327.5</v>
      </c>
      <c r="N3" s="5">
        <v>887416</v>
      </c>
      <c r="O3" s="4">
        <v>0.186</v>
      </c>
      <c r="P3" s="4">
        <v>6.149</v>
      </c>
      <c r="Q3" s="4">
        <v>33.034999999999997</v>
      </c>
    </row>
    <row r="4" spans="1:19" x14ac:dyDescent="0.3">
      <c r="A4" s="3" t="s">
        <v>72</v>
      </c>
      <c r="B4" s="3" t="s">
        <v>76</v>
      </c>
      <c r="C4" s="3">
        <v>17</v>
      </c>
      <c r="D4" s="3">
        <v>156</v>
      </c>
      <c r="E4" s="3">
        <v>9.1999999999999993</v>
      </c>
      <c r="F4" s="4">
        <v>0.35299999999999998</v>
      </c>
      <c r="G4" s="5">
        <v>204027</v>
      </c>
      <c r="H4" s="5">
        <v>12001.6</v>
      </c>
      <c r="I4" s="4">
        <v>1.1970000000000001</v>
      </c>
      <c r="J4" s="4">
        <v>0.23499999999999999</v>
      </c>
      <c r="K4" s="5">
        <v>1265955</v>
      </c>
      <c r="L4" s="5">
        <v>244270</v>
      </c>
      <c r="M4" s="5">
        <v>0</v>
      </c>
      <c r="N4" s="5">
        <v>158909</v>
      </c>
      <c r="O4" s="4">
        <v>0.193</v>
      </c>
      <c r="P4" s="4"/>
      <c r="Q4" s="4"/>
    </row>
    <row r="7" spans="1:19" x14ac:dyDescent="0.3">
      <c r="A7" s="31" t="s">
        <v>58</v>
      </c>
      <c r="B7" s="31"/>
    </row>
    <row r="9" spans="1:19" x14ac:dyDescent="0.3"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62</v>
      </c>
      <c r="M9" s="25" t="s">
        <v>13</v>
      </c>
      <c r="N9" s="25" t="s">
        <v>63</v>
      </c>
      <c r="O9" s="25" t="s">
        <v>14</v>
      </c>
      <c r="P9" s="25" t="s">
        <v>15</v>
      </c>
      <c r="Q9" s="25" t="s">
        <v>16</v>
      </c>
      <c r="R9" s="25" t="s">
        <v>17</v>
      </c>
      <c r="S9" s="25" t="s">
        <v>48</v>
      </c>
    </row>
    <row r="10" spans="1:19" x14ac:dyDescent="0.3">
      <c r="A10" s="31" t="str">
        <f>CONCATENATE("Current Season (as at", " ", TEXT(NOTES!F1, "dd"), " ", TEXT(NOTES!F1, "mmmm"), "):")</f>
        <v>Current Season (as at 22 August):</v>
      </c>
      <c r="B10" s="31"/>
      <c r="C10" s="26">
        <f>SUM(nz_grouping_summary_data_22_23[Races])</f>
        <v>87</v>
      </c>
      <c r="D10" s="26">
        <f>SUM(nz_grouping_summary_data_22_23[Starters])</f>
        <v>815</v>
      </c>
      <c r="E10" s="27">
        <f>D10/C10</f>
        <v>9.3678160919540225</v>
      </c>
      <c r="F10" s="28">
        <f>(ROUND(F2*C2,0) + ROUND(F4*C4,0) + ROUND(F5*C5,0))/C10</f>
        <v>0.20689655172413793</v>
      </c>
      <c r="G10" s="29">
        <f>SUM(nz_grouping_summary_data_22_23[HRNZ Funded Stakes])</f>
        <v>1111689</v>
      </c>
      <c r="H10" s="29">
        <f>G10/C10</f>
        <v>12778.034482758621</v>
      </c>
      <c r="I10" s="28">
        <f>M10/G10</f>
        <v>1.1111542886544707</v>
      </c>
      <c r="J10" s="28">
        <f>(ROUND(J2*C2,0) + ROUND(J4*C4,0) + ROUND(J5*C5,0))/C10</f>
        <v>6.8965517241379309E-2</v>
      </c>
      <c r="K10" s="29">
        <f>SUM(nz_grouping_summary_data_22_23[Turnover])</f>
        <v>7053902</v>
      </c>
      <c r="L10" s="29">
        <f>K10/C10</f>
        <v>81079.333333333328</v>
      </c>
      <c r="M10" s="29">
        <f>SUM(nz_grouping_summary_data_22_23[GBR])</f>
        <v>1235258</v>
      </c>
      <c r="N10" s="29">
        <f>M10/C10</f>
        <v>14198.367816091954</v>
      </c>
      <c r="O10" s="29">
        <f>SUM(nz_grouping_summary_data_22_23[Funding])</f>
        <v>272802.5</v>
      </c>
      <c r="P10" s="29">
        <f>SUM(nz_grouping_summary_data_22_23[Export TO (AUD)])</f>
        <v>1663925</v>
      </c>
      <c r="Q10" s="28">
        <f>M10/K10</f>
        <v>0.17511697780887797</v>
      </c>
      <c r="R10" s="28">
        <f>M10/O10</f>
        <v>4.5280303516280096</v>
      </c>
      <c r="S10" s="28">
        <f>K10/O10</f>
        <v>25.857175062545249</v>
      </c>
    </row>
    <row r="11" spans="1:19" x14ac:dyDescent="0.3">
      <c r="A11" s="31" t="str">
        <f>CONCATENATE("Prior Season (as at", " ", TEXT(NOTES!F1, "dd"), " ", TEXT(NOTES!F1, "mmmm"), "):")</f>
        <v>Prior Season (as at 22 August):</v>
      </c>
      <c r="B11" s="31"/>
      <c r="C11" s="26" cm="1">
        <f t="array" ref="C11">prior_yr_cumulative_total[Races]</f>
        <v>89</v>
      </c>
      <c r="D11" s="26" cm="1">
        <f t="array" ref="D11">prior_yr_cumulative_total[Starters]</f>
        <v>810</v>
      </c>
      <c r="E11" s="27" cm="1">
        <f t="array" ref="E11">prior_yr_cumulative_total[AFS]</f>
        <v>9.1</v>
      </c>
      <c r="F11" s="28" cm="1">
        <f t="array" ref="F11">prior_yr_cumulative_total[num_fav_winners]/prior_yr_cumulative_total[Races]</f>
        <v>0.33707865168539325</v>
      </c>
      <c r="G11" s="29" cm="1">
        <f t="array" ref="G11">prior_yr_cumulative_total[hrnz_funded_stakes]</f>
        <v>963889</v>
      </c>
      <c r="H11" s="29">
        <f>G11/C11</f>
        <v>10830.213483146068</v>
      </c>
      <c r="I11" s="28">
        <f>M11/G11</f>
        <v>1.3165893583182295</v>
      </c>
      <c r="J11" s="28" cm="1">
        <f t="array" ref="J11">prior_yr_cumulative_total[num_late_starts]/prior_yr_cumulative_total[Races]</f>
        <v>0.11235955056179775</v>
      </c>
      <c r="K11" s="29" cm="1">
        <f t="array" ref="K11">prior_yr_cumulative_total[turnover]</f>
        <v>7000648</v>
      </c>
      <c r="L11" s="29">
        <f>K11/C11</f>
        <v>78658.966292134835</v>
      </c>
      <c r="M11" s="29" cm="1">
        <f t="array" ref="M11">prior_yr_cumulative_total[GBR]</f>
        <v>1269046</v>
      </c>
      <c r="N11" s="29">
        <f>M11/C11</f>
        <v>14258.943820224718</v>
      </c>
      <c r="O11" s="29" t="str" cm="1">
        <f t="array" ref="O11">prior_yr_cumulative_total[total_funding]</f>
        <v>1223029</v>
      </c>
      <c r="P11" s="29" cm="1">
        <f t="array" ref="P11">prior_yr_cumulative_total[export_TO]</f>
        <v>3276667</v>
      </c>
      <c r="Q11" s="28">
        <f>M11/K11</f>
        <v>0.18127550478184304</v>
      </c>
      <c r="R11" s="28">
        <f>M11/O11</f>
        <v>1.0376254365186761</v>
      </c>
      <c r="S11" s="28">
        <f>K11/O11</f>
        <v>5.7240245325335701</v>
      </c>
    </row>
    <row r="12" spans="1:19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6"/>
      <c r="Q12" s="26"/>
      <c r="R12" s="26"/>
      <c r="S12" s="26"/>
    </row>
    <row r="13" spans="1:19" x14ac:dyDescent="0.3">
      <c r="A13" s="31" t="s">
        <v>68</v>
      </c>
      <c r="B13" s="31"/>
      <c r="C13" s="30">
        <f>(C10-C11)/C11</f>
        <v>-2.247191011235955E-2</v>
      </c>
      <c r="D13" s="30">
        <f t="shared" ref="D13:H13" si="0">(D10-D11)/D11</f>
        <v>6.1728395061728392E-3</v>
      </c>
      <c r="E13" s="30">
        <f t="shared" si="0"/>
        <v>2.9430339775167354E-2</v>
      </c>
      <c r="F13" s="28">
        <f t="shared" ref="F13:J13" si="1">F10-F11</f>
        <v>-0.13018209996125532</v>
      </c>
      <c r="G13" s="28">
        <f t="shared" si="0"/>
        <v>0.15333715811675411</v>
      </c>
      <c r="H13" s="28">
        <f t="shared" si="0"/>
        <v>0.17985065600449557</v>
      </c>
      <c r="I13" s="28">
        <f t="shared" si="1"/>
        <v>-0.2054350696637588</v>
      </c>
      <c r="J13" s="28">
        <f t="shared" si="1"/>
        <v>-4.339403332041844E-2</v>
      </c>
      <c r="K13" s="28">
        <f t="shared" ref="K13:P13" si="2">(K10-K11)/K11</f>
        <v>7.6070100939227342E-3</v>
      </c>
      <c r="L13" s="28">
        <f t="shared" si="2"/>
        <v>3.0770389636311648E-2</v>
      </c>
      <c r="M13" s="28">
        <f t="shared" si="2"/>
        <v>-2.6624724399273155E-2</v>
      </c>
      <c r="N13" s="28">
        <f t="shared" si="2"/>
        <v>-4.2482812820150515E-3</v>
      </c>
      <c r="O13" s="28">
        <f t="shared" si="2"/>
        <v>-0.77694519099710635</v>
      </c>
      <c r="P13" s="28">
        <f t="shared" si="2"/>
        <v>-0.49218977698984973</v>
      </c>
      <c r="Q13" s="28">
        <f t="shared" ref="Q13" si="3">Q10-Q11</f>
        <v>-6.1585269729650671E-3</v>
      </c>
      <c r="R13" s="28">
        <f>R10-R11</f>
        <v>3.4904049151093335</v>
      </c>
      <c r="S13" s="28">
        <f>S10-S11</f>
        <v>20.13315053001168</v>
      </c>
    </row>
    <row r="14" spans="1:19" x14ac:dyDescent="0.3">
      <c r="C14" s="19"/>
      <c r="D14" s="19"/>
      <c r="E14" s="19"/>
    </row>
    <row r="17" spans="1:2" x14ac:dyDescent="0.3">
      <c r="A17" s="7" t="s">
        <v>64</v>
      </c>
      <c r="B17" s="3" t="s">
        <v>66</v>
      </c>
    </row>
    <row r="18" spans="1:2" x14ac:dyDescent="0.3">
      <c r="B18" s="3" t="s">
        <v>65</v>
      </c>
    </row>
    <row r="19" spans="1:2" x14ac:dyDescent="0.3">
      <c r="B19" s="3" t="s">
        <v>67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4.4" x14ac:dyDescent="0.3"/>
  <cols>
    <col min="1" max="1" width="15.44140625" bestFit="1" customWidth="1"/>
    <col min="2" max="2" width="8" bestFit="1" customWidth="1"/>
    <col min="3" max="3" width="9.88671875" bestFit="1" customWidth="1"/>
    <col min="4" max="4" width="6.33203125" bestFit="1" customWidth="1"/>
    <col min="5" max="5" width="18.77734375" bestFit="1" customWidth="1"/>
    <col min="6" max="6" width="20.77734375" bestFit="1" customWidth="1"/>
    <col min="7" max="7" width="13.5546875" bestFit="1" customWidth="1"/>
    <col min="8" max="8" width="15" bestFit="1" customWidth="1"/>
    <col min="9" max="9" width="10.6640625" bestFit="1" customWidth="1"/>
    <col min="10" max="10" width="8" bestFit="1" customWidth="1"/>
    <col min="11" max="11" width="12.21875" bestFit="1" customWidth="1"/>
    <col min="12" max="12" width="17.21875" bestFit="1" customWidth="1"/>
    <col min="13" max="13" width="16.88671875" bestFit="1" customWidth="1"/>
  </cols>
  <sheetData>
    <row r="1" spans="1:12" x14ac:dyDescent="0.3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3">
      <c r="A2" t="s">
        <v>74</v>
      </c>
      <c r="B2">
        <v>89</v>
      </c>
      <c r="C2">
        <v>810</v>
      </c>
      <c r="D2">
        <v>9.1</v>
      </c>
      <c r="E2">
        <v>30</v>
      </c>
      <c r="F2">
        <v>963889</v>
      </c>
      <c r="G2">
        <v>963889</v>
      </c>
      <c r="H2" t="s">
        <v>80</v>
      </c>
      <c r="I2">
        <v>7000648</v>
      </c>
      <c r="J2">
        <v>1269046</v>
      </c>
      <c r="K2">
        <v>3276667</v>
      </c>
      <c r="L2">
        <v>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3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2023-02-22T18:23:47Z</cp:lastPrinted>
  <dcterms:created xsi:type="dcterms:W3CDTF">2022-09-15T04:29:49Z</dcterms:created>
  <dcterms:modified xsi:type="dcterms:W3CDTF">2023-08-21T20:39:36Z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