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4293" documentId="8_{AAD5AAB2-47E2-437E-81A2-472403DF00FE}" xr6:coauthVersionLast="47" xr6:coauthVersionMax="47" xr10:uidLastSave="{863A73FF-3C1B-43DF-9A85-2BC39642A418}"/>
  <bookViews>
    <workbookView xWindow="-108" yWindow="-108" windowWidth="23256" windowHeight="12456" tabRatio="762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Betcha Integrated" sheetId="12" r:id="rId5"/>
    <sheet name="raceday_23_24" sheetId="11" state="hidden" r:id="rId6"/>
    <sheet name="prior_yr_cumulative_total" sheetId="9" state="hidden" r:id="rId7"/>
  </sheets>
  <definedNames>
    <definedName name="ExternalData_1" localSheetId="6" hidden="1">prior_yr_cumulative_total!$A$1:$L$2</definedName>
    <definedName name="ExternalData_1" localSheetId="1" hidden="1">'Raceday Breakdown'!$A$1:$V$257</definedName>
    <definedName name="ExternalData_2" localSheetId="5" hidden="1">'raceday_23_24'!$A$1:$AA$243</definedName>
    <definedName name="_xlnm.Print_Area" localSheetId="2">club_summary_data_22_23[#All]</definedName>
    <definedName name="_xlnm.Print_Area" localSheetId="1">raceday_22_23[[#All],[Raceday Date]:[Funding]]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4" l="1"/>
  <c r="P257" i="7"/>
  <c r="AA257" i="7" s="1"/>
  <c r="P256" i="7"/>
  <c r="AA256" i="7" s="1"/>
  <c r="P255" i="7"/>
  <c r="AA255" i="7" s="1"/>
  <c r="P254" i="7"/>
  <c r="AA254" i="7" s="1"/>
  <c r="P253" i="7"/>
  <c r="AA253" i="7" s="1"/>
  <c r="P252" i="7"/>
  <c r="AA252" i="7" s="1"/>
  <c r="P251" i="7"/>
  <c r="AA251" i="7" s="1"/>
  <c r="P250" i="7"/>
  <c r="AA250" i="7" s="1"/>
  <c r="P249" i="7"/>
  <c r="AA249" i="7" s="1"/>
  <c r="P248" i="7"/>
  <c r="P247" i="7"/>
  <c r="P246" i="7"/>
  <c r="AA246" i="7" s="1"/>
  <c r="P245" i="7"/>
  <c r="AA245" i="7" s="1"/>
  <c r="P244" i="7"/>
  <c r="AA244" i="7" s="1"/>
  <c r="P243" i="7"/>
  <c r="AA243" i="7" s="1"/>
  <c r="P242" i="7"/>
  <c r="AA242" i="7" s="1"/>
  <c r="P241" i="7"/>
  <c r="AA241" i="7" s="1"/>
  <c r="P240" i="7"/>
  <c r="AA240" i="7" s="1"/>
  <c r="P239" i="7"/>
  <c r="AA239" i="7" s="1"/>
  <c r="P238" i="7"/>
  <c r="AA238" i="7" s="1"/>
  <c r="P237" i="7"/>
  <c r="AA237" i="7" s="1"/>
  <c r="P236" i="7"/>
  <c r="AA236" i="7" s="1"/>
  <c r="P235" i="7"/>
  <c r="AA235" i="7" s="1"/>
  <c r="P234" i="7"/>
  <c r="AA234" i="7" s="1"/>
  <c r="P233" i="7"/>
  <c r="AA233" i="7" s="1"/>
  <c r="P232" i="7"/>
  <c r="AA232" i="7" s="1"/>
  <c r="P231" i="7"/>
  <c r="P230" i="7"/>
  <c r="AA230" i="7" s="1"/>
  <c r="P229" i="7"/>
  <c r="AA229" i="7" s="1"/>
  <c r="P228" i="7"/>
  <c r="AA228" i="7" s="1"/>
  <c r="P227" i="7"/>
  <c r="AA227" i="7" s="1"/>
  <c r="P226" i="7"/>
  <c r="P225" i="7"/>
  <c r="AA225" i="7" s="1"/>
  <c r="P224" i="7"/>
  <c r="AA224" i="7" s="1"/>
  <c r="P223" i="7"/>
  <c r="AA223" i="7" s="1"/>
  <c r="P222" i="7"/>
  <c r="AA222" i="7" s="1"/>
  <c r="P221" i="7"/>
  <c r="AA221" i="7" s="1"/>
  <c r="P220" i="7"/>
  <c r="AA220" i="7" s="1"/>
  <c r="P219" i="7"/>
  <c r="AA219" i="7" s="1"/>
  <c r="P218" i="7"/>
  <c r="AA218" i="7" s="1"/>
  <c r="P217" i="7"/>
  <c r="AA217" i="7" s="1"/>
  <c r="P216" i="7"/>
  <c r="AA216" i="7" s="1"/>
  <c r="P215" i="7"/>
  <c r="P214" i="7"/>
  <c r="AA214" i="7" s="1"/>
  <c r="P213" i="7"/>
  <c r="AA213" i="7" s="1"/>
  <c r="P212" i="7"/>
  <c r="AA212" i="7" s="1"/>
  <c r="P211" i="7"/>
  <c r="AA211" i="7" s="1"/>
  <c r="P210" i="7"/>
  <c r="AA210" i="7" s="1"/>
  <c r="P209" i="7"/>
  <c r="AA209" i="7" s="1"/>
  <c r="P208" i="7"/>
  <c r="AA208" i="7" s="1"/>
  <c r="P207" i="7"/>
  <c r="AA207" i="7" s="1"/>
  <c r="P206" i="7"/>
  <c r="AA206" i="7" s="1"/>
  <c r="P205" i="7"/>
  <c r="AA205" i="7" s="1"/>
  <c r="P204" i="7"/>
  <c r="AA204" i="7" s="1"/>
  <c r="P203" i="7"/>
  <c r="AA203" i="7" s="1"/>
  <c r="P202" i="7"/>
  <c r="AA202" i="7" s="1"/>
  <c r="P201" i="7"/>
  <c r="AA201" i="7" s="1"/>
  <c r="P200" i="7"/>
  <c r="AA200" i="7" s="1"/>
  <c r="P199" i="7"/>
  <c r="P198" i="7"/>
  <c r="AA198" i="7" s="1"/>
  <c r="P197" i="7"/>
  <c r="AA197" i="7" s="1"/>
  <c r="P196" i="7"/>
  <c r="AA196" i="7" s="1"/>
  <c r="P195" i="7"/>
  <c r="AA195" i="7" s="1"/>
  <c r="P194" i="7"/>
  <c r="AA194" i="7" s="1"/>
  <c r="P193" i="7"/>
  <c r="AA193" i="7" s="1"/>
  <c r="P192" i="7"/>
  <c r="AA192" i="7" s="1"/>
  <c r="P191" i="7"/>
  <c r="AA191" i="7" s="1"/>
  <c r="P190" i="7"/>
  <c r="AA190" i="7" s="1"/>
  <c r="P189" i="7"/>
  <c r="AA189" i="7" s="1"/>
  <c r="P188" i="7"/>
  <c r="AA188" i="7" s="1"/>
  <c r="P187" i="7"/>
  <c r="AA187" i="7" s="1"/>
  <c r="P186" i="7"/>
  <c r="AA186" i="7" s="1"/>
  <c r="P185" i="7"/>
  <c r="AA185" i="7" s="1"/>
  <c r="P184" i="7"/>
  <c r="AA184" i="7" s="1"/>
  <c r="P183" i="7"/>
  <c r="AA183" i="7" s="1"/>
  <c r="P182" i="7"/>
  <c r="AA182" i="7" s="1"/>
  <c r="P181" i="7"/>
  <c r="AA181" i="7" s="1"/>
  <c r="P180" i="7"/>
  <c r="AA180" i="7" s="1"/>
  <c r="P179" i="7"/>
  <c r="AA179" i="7" s="1"/>
  <c r="P178" i="7"/>
  <c r="AA178" i="7" s="1"/>
  <c r="P177" i="7"/>
  <c r="AA177" i="7" s="1"/>
  <c r="P176" i="7"/>
  <c r="AA176" i="7" s="1"/>
  <c r="P175" i="7"/>
  <c r="AA175" i="7" s="1"/>
  <c r="P174" i="7"/>
  <c r="AA174" i="7" s="1"/>
  <c r="P173" i="7"/>
  <c r="AA173" i="7" s="1"/>
  <c r="P172" i="7"/>
  <c r="AA172" i="7" s="1"/>
  <c r="P171" i="7"/>
  <c r="AA171" i="7" s="1"/>
  <c r="P170" i="7"/>
  <c r="AA170" i="7" s="1"/>
  <c r="P169" i="7"/>
  <c r="AA169" i="7" s="1"/>
  <c r="P168" i="7"/>
  <c r="AA168" i="7" s="1"/>
  <c r="P167" i="7"/>
  <c r="AA167" i="7" s="1"/>
  <c r="P166" i="7"/>
  <c r="AA166" i="7" s="1"/>
  <c r="P165" i="7"/>
  <c r="AA165" i="7" s="1"/>
  <c r="P164" i="7"/>
  <c r="AA164" i="7" s="1"/>
  <c r="P163" i="7"/>
  <c r="AA163" i="7" s="1"/>
  <c r="P162" i="7"/>
  <c r="AA162" i="7" s="1"/>
  <c r="P161" i="7"/>
  <c r="AA161" i="7" s="1"/>
  <c r="P160" i="7"/>
  <c r="AA160" i="7" s="1"/>
  <c r="P159" i="7"/>
  <c r="AA159" i="7" s="1"/>
  <c r="P158" i="7"/>
  <c r="AA158" i="7" s="1"/>
  <c r="P157" i="7"/>
  <c r="AA157" i="7" s="1"/>
  <c r="P156" i="7"/>
  <c r="AA156" i="7" s="1"/>
  <c r="P155" i="7"/>
  <c r="AA155" i="7" s="1"/>
  <c r="P154" i="7"/>
  <c r="AA154" i="7" s="1"/>
  <c r="P153" i="7"/>
  <c r="AA153" i="7" s="1"/>
  <c r="P152" i="7"/>
  <c r="AA152" i="7" s="1"/>
  <c r="P151" i="7"/>
  <c r="AA151" i="7" s="1"/>
  <c r="P150" i="7"/>
  <c r="AA150" i="7" s="1"/>
  <c r="P149" i="7"/>
  <c r="AA149" i="7" s="1"/>
  <c r="P148" i="7"/>
  <c r="AA148" i="7" s="1"/>
  <c r="P147" i="7"/>
  <c r="AA147" i="7" s="1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M2" i="9"/>
  <c r="N2" i="9" s="1"/>
  <c r="W6" i="7"/>
  <c r="W7" i="7"/>
  <c r="W8" i="7"/>
  <c r="W11" i="7"/>
  <c r="W15" i="7"/>
  <c r="W17" i="7"/>
  <c r="W20" i="7"/>
  <c r="W22" i="7"/>
  <c r="W25" i="7"/>
  <c r="W28" i="7"/>
  <c r="W30" i="7"/>
  <c r="W35" i="7"/>
  <c r="W40" i="7"/>
  <c r="W42" i="7"/>
  <c r="W45" i="7"/>
  <c r="W50" i="7"/>
  <c r="W51" i="7"/>
  <c r="W54" i="7"/>
  <c r="W56" i="7"/>
  <c r="W57" i="7"/>
  <c r="W59" i="7"/>
  <c r="W61" i="7"/>
  <c r="W62" i="7"/>
  <c r="W64" i="7"/>
  <c r="W67" i="7"/>
  <c r="W73" i="7"/>
  <c r="W76" i="7"/>
  <c r="W78" i="7"/>
  <c r="W82" i="7"/>
  <c r="W96" i="7"/>
  <c r="W108" i="7"/>
  <c r="W109" i="7"/>
  <c r="W111" i="7"/>
  <c r="W123" i="7"/>
  <c r="W126" i="7"/>
  <c r="W127" i="7"/>
  <c r="W128" i="7"/>
  <c r="W133" i="7"/>
  <c r="W136" i="7"/>
  <c r="W137" i="7"/>
  <c r="W139" i="7"/>
  <c r="W143" i="7"/>
  <c r="W161" i="7"/>
  <c r="W164" i="7"/>
  <c r="W166" i="7"/>
  <c r="W167" i="7"/>
  <c r="W168" i="7"/>
  <c r="W172" i="7"/>
  <c r="W179" i="7"/>
  <c r="W185" i="7"/>
  <c r="W186" i="7"/>
  <c r="W190" i="7"/>
  <c r="W192" i="7"/>
  <c r="W193" i="7"/>
  <c r="W196" i="7"/>
  <c r="W198" i="7"/>
  <c r="W199" i="7"/>
  <c r="W200" i="7"/>
  <c r="W205" i="7"/>
  <c r="W206" i="7"/>
  <c r="W207" i="7"/>
  <c r="W212" i="7"/>
  <c r="W213" i="7"/>
  <c r="W218" i="7"/>
  <c r="W219" i="7"/>
  <c r="W231" i="7"/>
  <c r="W234" i="7"/>
  <c r="W236" i="7"/>
  <c r="W239" i="7"/>
  <c r="W245" i="7"/>
  <c r="W246" i="7"/>
  <c r="W249" i="7"/>
  <c r="W250" i="7"/>
  <c r="W254" i="7"/>
  <c r="W256" i="7"/>
  <c r="X2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186" i="7"/>
  <c r="X187" i="7"/>
  <c r="X188" i="7"/>
  <c r="X189" i="7"/>
  <c r="X190" i="7"/>
  <c r="X191" i="7"/>
  <c r="X192" i="7"/>
  <c r="X193" i="7"/>
  <c r="X194" i="7"/>
  <c r="X195" i="7"/>
  <c r="X196" i="7"/>
  <c r="X197" i="7"/>
  <c r="X198" i="7"/>
  <c r="X199" i="7"/>
  <c r="X200" i="7"/>
  <c r="X201" i="7"/>
  <c r="X202" i="7"/>
  <c r="X203" i="7"/>
  <c r="X204" i="7"/>
  <c r="X205" i="7"/>
  <c r="X206" i="7"/>
  <c r="X207" i="7"/>
  <c r="X208" i="7"/>
  <c r="X209" i="7"/>
  <c r="X210" i="7"/>
  <c r="X211" i="7"/>
  <c r="X212" i="7"/>
  <c r="X213" i="7"/>
  <c r="X214" i="7"/>
  <c r="X215" i="7"/>
  <c r="X216" i="7"/>
  <c r="X217" i="7"/>
  <c r="X218" i="7"/>
  <c r="X219" i="7"/>
  <c r="X220" i="7"/>
  <c r="X221" i="7"/>
  <c r="X222" i="7"/>
  <c r="X223" i="7"/>
  <c r="X224" i="7"/>
  <c r="X225" i="7"/>
  <c r="X226" i="7"/>
  <c r="X227" i="7"/>
  <c r="X228" i="7"/>
  <c r="X229" i="7"/>
  <c r="X230" i="7"/>
  <c r="X231" i="7"/>
  <c r="X232" i="7"/>
  <c r="X233" i="7"/>
  <c r="X234" i="7"/>
  <c r="X235" i="7"/>
  <c r="X236" i="7"/>
  <c r="X237" i="7"/>
  <c r="X238" i="7"/>
  <c r="X239" i="7"/>
  <c r="X240" i="7"/>
  <c r="X241" i="7"/>
  <c r="X242" i="7"/>
  <c r="X243" i="7"/>
  <c r="X244" i="7"/>
  <c r="X245" i="7"/>
  <c r="X246" i="7"/>
  <c r="X247" i="7"/>
  <c r="X248" i="7"/>
  <c r="X249" i="7"/>
  <c r="X250" i="7"/>
  <c r="X251" i="7"/>
  <c r="X252" i="7"/>
  <c r="X253" i="7"/>
  <c r="X254" i="7"/>
  <c r="X255" i="7"/>
  <c r="X256" i="7"/>
  <c r="X257" i="7"/>
  <c r="Y2" i="7"/>
  <c r="Y3" i="7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34" i="7"/>
  <c r="Y135" i="7"/>
  <c r="Y136" i="7"/>
  <c r="Y137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160" i="7"/>
  <c r="Y161" i="7"/>
  <c r="Y162" i="7"/>
  <c r="Y163" i="7"/>
  <c r="Y164" i="7"/>
  <c r="Y165" i="7"/>
  <c r="Y166" i="7"/>
  <c r="Y167" i="7"/>
  <c r="Y168" i="7"/>
  <c r="Y169" i="7"/>
  <c r="Y170" i="7"/>
  <c r="Y171" i="7"/>
  <c r="Y172" i="7"/>
  <c r="Y173" i="7"/>
  <c r="Y174" i="7"/>
  <c r="Y175" i="7"/>
  <c r="Y176" i="7"/>
  <c r="Y177" i="7"/>
  <c r="Y178" i="7"/>
  <c r="Y179" i="7"/>
  <c r="Y180" i="7"/>
  <c r="Y181" i="7"/>
  <c r="Y182" i="7"/>
  <c r="Y183" i="7"/>
  <c r="Y184" i="7"/>
  <c r="Y185" i="7"/>
  <c r="Y186" i="7"/>
  <c r="Y187" i="7"/>
  <c r="Y188" i="7"/>
  <c r="Y189" i="7"/>
  <c r="Y190" i="7"/>
  <c r="Y191" i="7"/>
  <c r="Y192" i="7"/>
  <c r="Y193" i="7"/>
  <c r="Y194" i="7"/>
  <c r="Y195" i="7"/>
  <c r="Y196" i="7"/>
  <c r="Y197" i="7"/>
  <c r="Y198" i="7"/>
  <c r="Y199" i="7"/>
  <c r="Y200" i="7"/>
  <c r="Y201" i="7"/>
  <c r="Y202" i="7"/>
  <c r="Y203" i="7"/>
  <c r="Y204" i="7"/>
  <c r="Y205" i="7"/>
  <c r="Y206" i="7"/>
  <c r="Y207" i="7"/>
  <c r="Y208" i="7"/>
  <c r="Y209" i="7"/>
  <c r="Y210" i="7"/>
  <c r="Y211" i="7"/>
  <c r="Y212" i="7"/>
  <c r="Y213" i="7"/>
  <c r="Y214" i="7"/>
  <c r="Y215" i="7"/>
  <c r="Y216" i="7"/>
  <c r="Y217" i="7"/>
  <c r="Y218" i="7"/>
  <c r="Y219" i="7"/>
  <c r="Y220" i="7"/>
  <c r="Y221" i="7"/>
  <c r="Y222" i="7"/>
  <c r="Y223" i="7"/>
  <c r="Y224" i="7"/>
  <c r="Y225" i="7"/>
  <c r="Y226" i="7"/>
  <c r="Y227" i="7"/>
  <c r="Y228" i="7"/>
  <c r="Y229" i="7"/>
  <c r="Y230" i="7"/>
  <c r="Y231" i="7"/>
  <c r="Y232" i="7"/>
  <c r="Y233" i="7"/>
  <c r="Y234" i="7"/>
  <c r="Y235" i="7"/>
  <c r="Y236" i="7"/>
  <c r="Y237" i="7"/>
  <c r="Y238" i="7"/>
  <c r="Y239" i="7"/>
  <c r="Y240" i="7"/>
  <c r="Y241" i="7"/>
  <c r="Y242" i="7"/>
  <c r="Y243" i="7"/>
  <c r="Y244" i="7"/>
  <c r="Y245" i="7"/>
  <c r="Y246" i="7"/>
  <c r="Y247" i="7"/>
  <c r="Y248" i="7"/>
  <c r="Y249" i="7"/>
  <c r="Y250" i="7"/>
  <c r="Y251" i="7"/>
  <c r="Y252" i="7"/>
  <c r="Y253" i="7"/>
  <c r="Y254" i="7"/>
  <c r="Y255" i="7"/>
  <c r="Y256" i="7"/>
  <c r="Y257" i="7"/>
  <c r="Z2" i="7"/>
  <c r="Z3" i="7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174" i="7"/>
  <c r="Z175" i="7"/>
  <c r="Z176" i="7"/>
  <c r="Z177" i="7"/>
  <c r="Z178" i="7"/>
  <c r="Z179" i="7"/>
  <c r="Z180" i="7"/>
  <c r="Z181" i="7"/>
  <c r="Z182" i="7"/>
  <c r="Z183" i="7"/>
  <c r="Z184" i="7"/>
  <c r="Z185" i="7"/>
  <c r="Z186" i="7"/>
  <c r="Z187" i="7"/>
  <c r="Z188" i="7"/>
  <c r="Z189" i="7"/>
  <c r="Z190" i="7"/>
  <c r="Z191" i="7"/>
  <c r="Z192" i="7"/>
  <c r="Z193" i="7"/>
  <c r="Z194" i="7"/>
  <c r="Z195" i="7"/>
  <c r="Z196" i="7"/>
  <c r="Z197" i="7"/>
  <c r="Z198" i="7"/>
  <c r="Z199" i="7"/>
  <c r="Z200" i="7"/>
  <c r="Z201" i="7"/>
  <c r="Z202" i="7"/>
  <c r="Z203" i="7"/>
  <c r="Z204" i="7"/>
  <c r="Z205" i="7"/>
  <c r="Z206" i="7"/>
  <c r="Z207" i="7"/>
  <c r="Z208" i="7"/>
  <c r="Z209" i="7"/>
  <c r="Z210" i="7"/>
  <c r="Z211" i="7"/>
  <c r="Z212" i="7"/>
  <c r="Z213" i="7"/>
  <c r="Z214" i="7"/>
  <c r="Z215" i="7"/>
  <c r="Z216" i="7"/>
  <c r="Z217" i="7"/>
  <c r="Z218" i="7"/>
  <c r="Z219" i="7"/>
  <c r="Z220" i="7"/>
  <c r="Z221" i="7"/>
  <c r="Z222" i="7"/>
  <c r="Z223" i="7"/>
  <c r="Z224" i="7"/>
  <c r="Z225" i="7"/>
  <c r="Z226" i="7"/>
  <c r="Z227" i="7"/>
  <c r="Z228" i="7"/>
  <c r="Z229" i="7"/>
  <c r="Z230" i="7"/>
  <c r="Z231" i="7"/>
  <c r="Z232" i="7"/>
  <c r="Z233" i="7"/>
  <c r="Z234" i="7"/>
  <c r="Z235" i="7"/>
  <c r="Z236" i="7"/>
  <c r="Z237" i="7"/>
  <c r="Z238" i="7"/>
  <c r="Z239" i="7"/>
  <c r="Z240" i="7"/>
  <c r="Z241" i="7"/>
  <c r="Z242" i="7"/>
  <c r="Z243" i="7"/>
  <c r="Z244" i="7"/>
  <c r="Z245" i="7"/>
  <c r="Z246" i="7"/>
  <c r="Z247" i="7"/>
  <c r="Z248" i="7"/>
  <c r="Z249" i="7"/>
  <c r="Z250" i="7"/>
  <c r="Z251" i="7"/>
  <c r="Z252" i="7"/>
  <c r="Z253" i="7"/>
  <c r="Z254" i="7"/>
  <c r="Z255" i="7"/>
  <c r="Z256" i="7"/>
  <c r="Z257" i="7"/>
  <c r="AA2" i="7"/>
  <c r="AA3" i="7"/>
  <c r="AA4" i="7"/>
  <c r="AA5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99" i="7"/>
  <c r="AA215" i="7"/>
  <c r="AA226" i="7"/>
  <c r="AA231" i="7"/>
  <c r="AA247" i="7"/>
  <c r="AA248" i="7"/>
  <c r="AE2" i="7"/>
  <c r="AE3" i="7"/>
  <c r="AE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126" i="7"/>
  <c r="AE127" i="7"/>
  <c r="AE128" i="7"/>
  <c r="AE129" i="7"/>
  <c r="AE130" i="7"/>
  <c r="AE131" i="7"/>
  <c r="AE132" i="7"/>
  <c r="AE133" i="7"/>
  <c r="AE134" i="7"/>
  <c r="AE135" i="7"/>
  <c r="AE136" i="7"/>
  <c r="AE137" i="7"/>
  <c r="AE138" i="7"/>
  <c r="AE139" i="7"/>
  <c r="AE140" i="7"/>
  <c r="AE141" i="7"/>
  <c r="AE142" i="7"/>
  <c r="AE143" i="7"/>
  <c r="AE144" i="7"/>
  <c r="AE145" i="7"/>
  <c r="AE146" i="7"/>
  <c r="AE147" i="7"/>
  <c r="AE148" i="7"/>
  <c r="AE149" i="7"/>
  <c r="AE150" i="7"/>
  <c r="AE151" i="7"/>
  <c r="AE152" i="7"/>
  <c r="AE153" i="7"/>
  <c r="AE154" i="7"/>
  <c r="AE155" i="7"/>
  <c r="AE156" i="7"/>
  <c r="AE157" i="7"/>
  <c r="AE158" i="7"/>
  <c r="AE159" i="7"/>
  <c r="AE160" i="7"/>
  <c r="AE161" i="7"/>
  <c r="AE162" i="7"/>
  <c r="AE163" i="7"/>
  <c r="AE164" i="7"/>
  <c r="AE165" i="7"/>
  <c r="AE166" i="7"/>
  <c r="AE167" i="7"/>
  <c r="AE168" i="7"/>
  <c r="AE169" i="7"/>
  <c r="AE170" i="7"/>
  <c r="AE171" i="7"/>
  <c r="AE172" i="7"/>
  <c r="AE173" i="7"/>
  <c r="AE174" i="7"/>
  <c r="AE175" i="7"/>
  <c r="AE176" i="7"/>
  <c r="AE177" i="7"/>
  <c r="AE178" i="7"/>
  <c r="AE179" i="7"/>
  <c r="AE180" i="7"/>
  <c r="AE181" i="7"/>
  <c r="AE182" i="7"/>
  <c r="AE183" i="7"/>
  <c r="AE184" i="7"/>
  <c r="AE185" i="7"/>
  <c r="AE186" i="7"/>
  <c r="AE187" i="7"/>
  <c r="AE188" i="7"/>
  <c r="AE189" i="7"/>
  <c r="AE190" i="7"/>
  <c r="AE191" i="7"/>
  <c r="AE192" i="7"/>
  <c r="AE193" i="7"/>
  <c r="AE194" i="7"/>
  <c r="AE195" i="7"/>
  <c r="AE196" i="7"/>
  <c r="AE197" i="7"/>
  <c r="AE198" i="7"/>
  <c r="AE199" i="7"/>
  <c r="AE200" i="7"/>
  <c r="AE201" i="7"/>
  <c r="AE202" i="7"/>
  <c r="AE203" i="7"/>
  <c r="AE204" i="7"/>
  <c r="AE205" i="7"/>
  <c r="AE206" i="7"/>
  <c r="AE207" i="7"/>
  <c r="AE208" i="7"/>
  <c r="AE209" i="7"/>
  <c r="AE210" i="7"/>
  <c r="AE211" i="7"/>
  <c r="AE212" i="7"/>
  <c r="AE213" i="7"/>
  <c r="AE214" i="7"/>
  <c r="AE215" i="7"/>
  <c r="AE216" i="7"/>
  <c r="AE217" i="7"/>
  <c r="AE218" i="7"/>
  <c r="AE219" i="7"/>
  <c r="AE220" i="7"/>
  <c r="AE221" i="7"/>
  <c r="AE222" i="7"/>
  <c r="AE223" i="7"/>
  <c r="AE224" i="7"/>
  <c r="AE225" i="7"/>
  <c r="AE226" i="7"/>
  <c r="AE227" i="7"/>
  <c r="AE228" i="7"/>
  <c r="AE229" i="7"/>
  <c r="AE230" i="7"/>
  <c r="AE231" i="7"/>
  <c r="AE232" i="7"/>
  <c r="AE233" i="7"/>
  <c r="AE234" i="7"/>
  <c r="AE235" i="7"/>
  <c r="AE236" i="7"/>
  <c r="AE237" i="7"/>
  <c r="AE238" i="7"/>
  <c r="AE239" i="7"/>
  <c r="AE240" i="7"/>
  <c r="AE241" i="7"/>
  <c r="AE242" i="7"/>
  <c r="AE243" i="7"/>
  <c r="AE244" i="7"/>
  <c r="AE245" i="7"/>
  <c r="AE246" i="7"/>
  <c r="AE247" i="7"/>
  <c r="AE248" i="7"/>
  <c r="AE249" i="7"/>
  <c r="AE250" i="7"/>
  <c r="AE251" i="7"/>
  <c r="AE252" i="7"/>
  <c r="AE253" i="7"/>
  <c r="AE254" i="7"/>
  <c r="AE255" i="7"/>
  <c r="AE256" i="7"/>
  <c r="AE257" i="7"/>
  <c r="A237" i="12"/>
  <c r="A236" i="12"/>
  <c r="A235" i="12"/>
  <c r="A234" i="12"/>
  <c r="A233" i="12"/>
  <c r="A232" i="12"/>
  <c r="A231" i="12"/>
  <c r="A229" i="12" l="1"/>
  <c r="A230" i="12"/>
  <c r="A227" i="12"/>
  <c r="A228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3" i="12" l="1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" i="12"/>
  <c r="S11" i="5" a="1"/>
  <c r="S11" i="5" s="1"/>
  <c r="O261" i="7"/>
  <c r="N261" i="7"/>
  <c r="M261" i="7"/>
  <c r="J261" i="7"/>
  <c r="I261" i="7"/>
  <c r="F261" i="7"/>
  <c r="E261" i="7"/>
  <c r="N37" i="2"/>
  <c r="S37" i="2" s="1"/>
  <c r="M37" i="2"/>
  <c r="H37" i="2"/>
  <c r="E37" i="2"/>
  <c r="D37" i="2"/>
  <c r="C37" i="2"/>
  <c r="M36" i="2"/>
  <c r="H36" i="2"/>
  <c r="E36" i="2"/>
  <c r="D36" i="2"/>
  <c r="C36" i="2"/>
  <c r="N35" i="2"/>
  <c r="S35" i="2" s="1"/>
  <c r="M35" i="2"/>
  <c r="H35" i="2"/>
  <c r="E35" i="2"/>
  <c r="D35" i="2"/>
  <c r="C35" i="2"/>
  <c r="M34" i="2"/>
  <c r="H34" i="2"/>
  <c r="E34" i="2"/>
  <c r="D34" i="2"/>
  <c r="C34" i="2"/>
  <c r="N33" i="2"/>
  <c r="S33" i="2" s="1"/>
  <c r="M33" i="2"/>
  <c r="H33" i="2"/>
  <c r="E33" i="2"/>
  <c r="D33" i="2"/>
  <c r="C33" i="2"/>
  <c r="M32" i="2"/>
  <c r="H32" i="2"/>
  <c r="E32" i="2"/>
  <c r="D32" i="2"/>
  <c r="C32" i="2"/>
  <c r="M31" i="2"/>
  <c r="H31" i="2"/>
  <c r="E31" i="2"/>
  <c r="D31" i="2"/>
  <c r="C31" i="2"/>
  <c r="M30" i="2"/>
  <c r="H30" i="2"/>
  <c r="E30" i="2"/>
  <c r="D30" i="2"/>
  <c r="C30" i="2"/>
  <c r="M29" i="2"/>
  <c r="H29" i="2"/>
  <c r="E29" i="2"/>
  <c r="D29" i="2"/>
  <c r="C29" i="2"/>
  <c r="M28" i="2"/>
  <c r="H28" i="2"/>
  <c r="E28" i="2"/>
  <c r="D28" i="2"/>
  <c r="C28" i="2"/>
  <c r="M27" i="2"/>
  <c r="H27" i="2"/>
  <c r="E27" i="2"/>
  <c r="D27" i="2"/>
  <c r="C27" i="2"/>
  <c r="N26" i="2"/>
  <c r="S26" i="2" s="1"/>
  <c r="M26" i="2"/>
  <c r="H26" i="2"/>
  <c r="E26" i="2"/>
  <c r="D26" i="2"/>
  <c r="C26" i="2"/>
  <c r="M25" i="2"/>
  <c r="H25" i="2"/>
  <c r="E25" i="2"/>
  <c r="D25" i="2"/>
  <c r="C25" i="2"/>
  <c r="M24" i="2"/>
  <c r="H24" i="2"/>
  <c r="E24" i="2"/>
  <c r="D24" i="2"/>
  <c r="C24" i="2"/>
  <c r="M23" i="2"/>
  <c r="H23" i="2"/>
  <c r="E23" i="2"/>
  <c r="D23" i="2"/>
  <c r="C23" i="2"/>
  <c r="M22" i="2"/>
  <c r="H22" i="2"/>
  <c r="E22" i="2"/>
  <c r="D22" i="2"/>
  <c r="C22" i="2"/>
  <c r="M21" i="2"/>
  <c r="H21" i="2"/>
  <c r="E21" i="2"/>
  <c r="D21" i="2"/>
  <c r="C21" i="2"/>
  <c r="M20" i="2"/>
  <c r="H20" i="2"/>
  <c r="E20" i="2"/>
  <c r="D20" i="2"/>
  <c r="C20" i="2"/>
  <c r="M19" i="2"/>
  <c r="H19" i="2"/>
  <c r="E19" i="2"/>
  <c r="D19" i="2"/>
  <c r="C19" i="2"/>
  <c r="M18" i="2"/>
  <c r="H18" i="2"/>
  <c r="E18" i="2"/>
  <c r="D18" i="2"/>
  <c r="C18" i="2"/>
  <c r="N17" i="2"/>
  <c r="S17" i="2" s="1"/>
  <c r="M17" i="2"/>
  <c r="H17" i="2"/>
  <c r="E17" i="2"/>
  <c r="D17" i="2"/>
  <c r="C17" i="2"/>
  <c r="M16" i="2"/>
  <c r="H16" i="2"/>
  <c r="E16" i="2"/>
  <c r="D16" i="2"/>
  <c r="C16" i="2"/>
  <c r="N15" i="2"/>
  <c r="S15" i="2" s="1"/>
  <c r="M15" i="2"/>
  <c r="H15" i="2"/>
  <c r="E15" i="2"/>
  <c r="D15" i="2"/>
  <c r="C15" i="2"/>
  <c r="N14" i="2"/>
  <c r="S14" i="2" s="1"/>
  <c r="M14" i="2"/>
  <c r="H14" i="2"/>
  <c r="E14" i="2"/>
  <c r="D14" i="2"/>
  <c r="C14" i="2"/>
  <c r="M13" i="2"/>
  <c r="H13" i="2"/>
  <c r="E13" i="2"/>
  <c r="D13" i="2"/>
  <c r="C13" i="2"/>
  <c r="N12" i="2"/>
  <c r="S12" i="2" s="1"/>
  <c r="M12" i="2"/>
  <c r="H12" i="2"/>
  <c r="E12" i="2"/>
  <c r="D12" i="2"/>
  <c r="C12" i="2"/>
  <c r="M11" i="2"/>
  <c r="H11" i="2"/>
  <c r="E11" i="2"/>
  <c r="D11" i="2"/>
  <c r="C11" i="2"/>
  <c r="M10" i="2"/>
  <c r="H10" i="2"/>
  <c r="E10" i="2"/>
  <c r="D10" i="2"/>
  <c r="C10" i="2"/>
  <c r="M9" i="2"/>
  <c r="H9" i="2"/>
  <c r="E9" i="2"/>
  <c r="D9" i="2"/>
  <c r="C9" i="2"/>
  <c r="N8" i="2"/>
  <c r="S8" i="2" s="1"/>
  <c r="M8" i="2"/>
  <c r="H8" i="2"/>
  <c r="E8" i="2"/>
  <c r="D8" i="2"/>
  <c r="C8" i="2"/>
  <c r="N7" i="2"/>
  <c r="S7" i="2" s="1"/>
  <c r="M7" i="2"/>
  <c r="H7" i="2"/>
  <c r="E7" i="2"/>
  <c r="D7" i="2"/>
  <c r="C7" i="2"/>
  <c r="N6" i="2"/>
  <c r="S6" i="2" s="1"/>
  <c r="M6" i="2"/>
  <c r="H6" i="2"/>
  <c r="E6" i="2"/>
  <c r="D6" i="2"/>
  <c r="C6" i="2"/>
  <c r="M5" i="2"/>
  <c r="H5" i="2"/>
  <c r="E5" i="2"/>
  <c r="D5" i="2"/>
  <c r="C5" i="2"/>
  <c r="N4" i="2"/>
  <c r="S4" i="2" s="1"/>
  <c r="M4" i="2"/>
  <c r="H4" i="2"/>
  <c r="E4" i="2"/>
  <c r="D4" i="2"/>
  <c r="C4" i="2"/>
  <c r="M3" i="2"/>
  <c r="H3" i="2"/>
  <c r="E3" i="2"/>
  <c r="D3" i="2"/>
  <c r="C3" i="2"/>
  <c r="M2" i="2"/>
  <c r="H2" i="2"/>
  <c r="E2" i="2"/>
  <c r="D2" i="2"/>
  <c r="C2" i="2"/>
  <c r="A9" i="5"/>
  <c r="M4" i="5"/>
  <c r="M3" i="5"/>
  <c r="M2" i="5"/>
  <c r="G4" i="5"/>
  <c r="G3" i="5"/>
  <c r="G2" i="5"/>
  <c r="D4" i="5"/>
  <c r="D3" i="5"/>
  <c r="D2" i="5"/>
  <c r="C4" i="5"/>
  <c r="C3" i="5"/>
  <c r="C2" i="5"/>
  <c r="AB5" i="7" l="1"/>
  <c r="W5" i="7" s="1"/>
  <c r="AB21" i="7"/>
  <c r="W21" i="7" s="1"/>
  <c r="AB37" i="7"/>
  <c r="W37" i="7" s="1"/>
  <c r="AB53" i="7"/>
  <c r="W53" i="7" s="1"/>
  <c r="AB69" i="7"/>
  <c r="W69" i="7" s="1"/>
  <c r="AB85" i="7"/>
  <c r="W85" i="7" s="1"/>
  <c r="AB101" i="7"/>
  <c r="W101" i="7" s="1"/>
  <c r="AB117" i="7"/>
  <c r="W117" i="7" s="1"/>
  <c r="AB133" i="7"/>
  <c r="AB149" i="7"/>
  <c r="W149" i="7" s="1"/>
  <c r="AB165" i="7"/>
  <c r="W165" i="7" s="1"/>
  <c r="AB181" i="7"/>
  <c r="W181" i="7" s="1"/>
  <c r="AB197" i="7"/>
  <c r="W197" i="7" s="1"/>
  <c r="AB213" i="7"/>
  <c r="AB229" i="7"/>
  <c r="W229" i="7" s="1"/>
  <c r="AC8" i="7"/>
  <c r="AD8" i="7" s="1"/>
  <c r="AC24" i="7"/>
  <c r="AD24" i="7" s="1"/>
  <c r="AC40" i="7"/>
  <c r="AD40" i="7" s="1"/>
  <c r="AC56" i="7"/>
  <c r="AD56" i="7" s="1"/>
  <c r="AC72" i="7"/>
  <c r="AD72" i="7" s="1"/>
  <c r="AC88" i="7"/>
  <c r="AD88" i="7" s="1"/>
  <c r="AC104" i="7"/>
  <c r="AD104" i="7" s="1"/>
  <c r="AC120" i="7"/>
  <c r="AD120" i="7" s="1"/>
  <c r="AC136" i="7"/>
  <c r="AD136" i="7" s="1"/>
  <c r="AC152" i="7"/>
  <c r="AD152" i="7" s="1"/>
  <c r="AC168" i="7"/>
  <c r="AD168" i="7" s="1"/>
  <c r="AC184" i="7"/>
  <c r="AD184" i="7" s="1"/>
  <c r="AC200" i="7"/>
  <c r="AD200" i="7" s="1"/>
  <c r="AC216" i="7"/>
  <c r="AD216" i="7" s="1"/>
  <c r="AC232" i="7"/>
  <c r="AD232" i="7" s="1"/>
  <c r="AB58" i="7"/>
  <c r="W58" i="7" s="1"/>
  <c r="AB90" i="7"/>
  <c r="W90" i="7" s="1"/>
  <c r="AB138" i="7"/>
  <c r="W138" i="7" s="1"/>
  <c r="AB186" i="7"/>
  <c r="AB234" i="7"/>
  <c r="AC61" i="7"/>
  <c r="AD61" i="7" s="1"/>
  <c r="AC141" i="7"/>
  <c r="AD141" i="7" s="1"/>
  <c r="AC221" i="7"/>
  <c r="AD221" i="7" s="1"/>
  <c r="AB6" i="7"/>
  <c r="AB22" i="7"/>
  <c r="AB38" i="7"/>
  <c r="W38" i="7" s="1"/>
  <c r="AB54" i="7"/>
  <c r="AB70" i="7"/>
  <c r="W70" i="7" s="1"/>
  <c r="AB86" i="7"/>
  <c r="W86" i="7" s="1"/>
  <c r="AB102" i="7"/>
  <c r="W102" i="7" s="1"/>
  <c r="AB118" i="7"/>
  <c r="W118" i="7" s="1"/>
  <c r="AB134" i="7"/>
  <c r="W134" i="7" s="1"/>
  <c r="AB150" i="7"/>
  <c r="W150" i="7" s="1"/>
  <c r="AB166" i="7"/>
  <c r="AB182" i="7"/>
  <c r="W182" i="7" s="1"/>
  <c r="AB198" i="7"/>
  <c r="AB214" i="7"/>
  <c r="W214" i="7" s="1"/>
  <c r="AB230" i="7"/>
  <c r="W230" i="7" s="1"/>
  <c r="AC9" i="7"/>
  <c r="AD9" i="7" s="1"/>
  <c r="AC25" i="7"/>
  <c r="AD25" i="7" s="1"/>
  <c r="AC41" i="7"/>
  <c r="AD41" i="7" s="1"/>
  <c r="AC57" i="7"/>
  <c r="AD57" i="7" s="1"/>
  <c r="AC73" i="7"/>
  <c r="AD73" i="7" s="1"/>
  <c r="AC89" i="7"/>
  <c r="AD89" i="7" s="1"/>
  <c r="AC105" i="7"/>
  <c r="AD105" i="7" s="1"/>
  <c r="AC121" i="7"/>
  <c r="AD121" i="7" s="1"/>
  <c r="AC137" i="7"/>
  <c r="AD137" i="7" s="1"/>
  <c r="AC153" i="7"/>
  <c r="AD153" i="7" s="1"/>
  <c r="AC169" i="7"/>
  <c r="AD169" i="7" s="1"/>
  <c r="AC185" i="7"/>
  <c r="AD185" i="7" s="1"/>
  <c r="AC201" i="7"/>
  <c r="AD201" i="7" s="1"/>
  <c r="AC217" i="7"/>
  <c r="AD217" i="7" s="1"/>
  <c r="AC233" i="7"/>
  <c r="AD233" i="7" s="1"/>
  <c r="AB119" i="7"/>
  <c r="W119" i="7" s="1"/>
  <c r="AB151" i="7"/>
  <c r="W151" i="7" s="1"/>
  <c r="AB167" i="7"/>
  <c r="AB183" i="7"/>
  <c r="W183" i="7" s="1"/>
  <c r="AB215" i="7"/>
  <c r="W215" i="7" s="1"/>
  <c r="AB231" i="7"/>
  <c r="AB10" i="7"/>
  <c r="W10" i="7" s="1"/>
  <c r="AB106" i="7"/>
  <c r="W106" i="7" s="1"/>
  <c r="AB154" i="7"/>
  <c r="W154" i="7" s="1"/>
  <c r="AB202" i="7"/>
  <c r="W202" i="7" s="1"/>
  <c r="AC29" i="7"/>
  <c r="AD29" i="7" s="1"/>
  <c r="AC77" i="7"/>
  <c r="AD77" i="7" s="1"/>
  <c r="AC157" i="7"/>
  <c r="AD157" i="7" s="1"/>
  <c r="AC242" i="7"/>
  <c r="AD242" i="7" s="1"/>
  <c r="AB7" i="7"/>
  <c r="AB23" i="7"/>
  <c r="W23" i="7" s="1"/>
  <c r="AB39" i="7"/>
  <c r="W39" i="7" s="1"/>
  <c r="AB55" i="7"/>
  <c r="W55" i="7" s="1"/>
  <c r="AB71" i="7"/>
  <c r="W71" i="7" s="1"/>
  <c r="AB87" i="7"/>
  <c r="W87" i="7" s="1"/>
  <c r="AB103" i="7"/>
  <c r="W103" i="7" s="1"/>
  <c r="AB135" i="7"/>
  <c r="W135" i="7" s="1"/>
  <c r="AB199" i="7"/>
  <c r="AC109" i="7"/>
  <c r="AD109" i="7" s="1"/>
  <c r="AB8" i="7"/>
  <c r="AB24" i="7"/>
  <c r="W24" i="7" s="1"/>
  <c r="AB40" i="7"/>
  <c r="AB56" i="7"/>
  <c r="AB72" i="7"/>
  <c r="W72" i="7" s="1"/>
  <c r="AB88" i="7"/>
  <c r="W88" i="7" s="1"/>
  <c r="AB104" i="7"/>
  <c r="W104" i="7" s="1"/>
  <c r="AB120" i="7"/>
  <c r="W120" i="7" s="1"/>
  <c r="AB136" i="7"/>
  <c r="AB152" i="7"/>
  <c r="W152" i="7" s="1"/>
  <c r="AB168" i="7"/>
  <c r="AB184" i="7"/>
  <c r="W184" i="7" s="1"/>
  <c r="AB200" i="7"/>
  <c r="AB216" i="7"/>
  <c r="W216" i="7" s="1"/>
  <c r="AB232" i="7"/>
  <c r="W232" i="7" s="1"/>
  <c r="AC11" i="7"/>
  <c r="AD11" i="7" s="1"/>
  <c r="AC27" i="7"/>
  <c r="AD27" i="7" s="1"/>
  <c r="AC43" i="7"/>
  <c r="AD43" i="7" s="1"/>
  <c r="AC59" i="7"/>
  <c r="AD59" i="7" s="1"/>
  <c r="AC75" i="7"/>
  <c r="AD75" i="7" s="1"/>
  <c r="AC91" i="7"/>
  <c r="AD91" i="7" s="1"/>
  <c r="AC107" i="7"/>
  <c r="AD107" i="7" s="1"/>
  <c r="AC123" i="7"/>
  <c r="AD123" i="7" s="1"/>
  <c r="AC139" i="7"/>
  <c r="AD139" i="7" s="1"/>
  <c r="AC155" i="7"/>
  <c r="AD155" i="7" s="1"/>
  <c r="AC171" i="7"/>
  <c r="AD171" i="7" s="1"/>
  <c r="AC187" i="7"/>
  <c r="AD187" i="7" s="1"/>
  <c r="AC203" i="7"/>
  <c r="AD203" i="7" s="1"/>
  <c r="AC219" i="7"/>
  <c r="AD219" i="7" s="1"/>
  <c r="AC235" i="7"/>
  <c r="AD235" i="7" s="1"/>
  <c r="AC205" i="7"/>
  <c r="AD205" i="7" s="1"/>
  <c r="AB9" i="7"/>
  <c r="W9" i="7" s="1"/>
  <c r="AB25" i="7"/>
  <c r="AB41" i="7"/>
  <c r="W41" i="7" s="1"/>
  <c r="AB57" i="7"/>
  <c r="AB73" i="7"/>
  <c r="AB89" i="7"/>
  <c r="W89" i="7" s="1"/>
  <c r="AB105" i="7"/>
  <c r="W105" i="7" s="1"/>
  <c r="AB121" i="7"/>
  <c r="W121" i="7" s="1"/>
  <c r="AB137" i="7"/>
  <c r="AB153" i="7"/>
  <c r="W153" i="7" s="1"/>
  <c r="AB169" i="7"/>
  <c r="W169" i="7" s="1"/>
  <c r="AB185" i="7"/>
  <c r="AB201" i="7"/>
  <c r="W201" i="7" s="1"/>
  <c r="AB217" i="7"/>
  <c r="W217" i="7" s="1"/>
  <c r="AB233" i="7"/>
  <c r="W233" i="7" s="1"/>
  <c r="AC12" i="7"/>
  <c r="AD12" i="7" s="1"/>
  <c r="AC28" i="7"/>
  <c r="AD28" i="7" s="1"/>
  <c r="AC44" i="7"/>
  <c r="AD44" i="7" s="1"/>
  <c r="AC60" i="7"/>
  <c r="AD60" i="7" s="1"/>
  <c r="AC76" i="7"/>
  <c r="AD76" i="7" s="1"/>
  <c r="AC92" i="7"/>
  <c r="AD92" i="7" s="1"/>
  <c r="AC108" i="7"/>
  <c r="AD108" i="7" s="1"/>
  <c r="AC124" i="7"/>
  <c r="AD124" i="7" s="1"/>
  <c r="AC140" i="7"/>
  <c r="AD140" i="7" s="1"/>
  <c r="AC156" i="7"/>
  <c r="AD156" i="7" s="1"/>
  <c r="AC172" i="7"/>
  <c r="AD172" i="7" s="1"/>
  <c r="AC188" i="7"/>
  <c r="AD188" i="7" s="1"/>
  <c r="AC204" i="7"/>
  <c r="AD204" i="7" s="1"/>
  <c r="AC220" i="7"/>
  <c r="AD220" i="7" s="1"/>
  <c r="AC236" i="7"/>
  <c r="AD236" i="7" s="1"/>
  <c r="AB26" i="7"/>
  <c r="W26" i="7" s="1"/>
  <c r="AB74" i="7"/>
  <c r="W74" i="7" s="1"/>
  <c r="AB122" i="7"/>
  <c r="W122" i="7" s="1"/>
  <c r="AB170" i="7"/>
  <c r="W170" i="7" s="1"/>
  <c r="AB218" i="7"/>
  <c r="AC45" i="7"/>
  <c r="AD45" i="7" s="1"/>
  <c r="AC125" i="7"/>
  <c r="AD125" i="7" s="1"/>
  <c r="AC189" i="7"/>
  <c r="AD189" i="7" s="1"/>
  <c r="AB42" i="7"/>
  <c r="AC13" i="7"/>
  <c r="AD13" i="7" s="1"/>
  <c r="AC93" i="7"/>
  <c r="AD93" i="7" s="1"/>
  <c r="AC173" i="7"/>
  <c r="AD173" i="7" s="1"/>
  <c r="AB11" i="7"/>
  <c r="AB27" i="7"/>
  <c r="W27" i="7" s="1"/>
  <c r="AB43" i="7"/>
  <c r="W43" i="7" s="1"/>
  <c r="AB59" i="7"/>
  <c r="AB75" i="7"/>
  <c r="W75" i="7" s="1"/>
  <c r="AB91" i="7"/>
  <c r="W91" i="7" s="1"/>
  <c r="AB107" i="7"/>
  <c r="W107" i="7" s="1"/>
  <c r="AB123" i="7"/>
  <c r="AB139" i="7"/>
  <c r="AB155" i="7"/>
  <c r="W155" i="7" s="1"/>
  <c r="AB171" i="7"/>
  <c r="W171" i="7" s="1"/>
  <c r="AB187" i="7"/>
  <c r="W187" i="7" s="1"/>
  <c r="AB203" i="7"/>
  <c r="W203" i="7" s="1"/>
  <c r="AB219" i="7"/>
  <c r="AB235" i="7"/>
  <c r="W235" i="7" s="1"/>
  <c r="AC14" i="7"/>
  <c r="AD14" i="7" s="1"/>
  <c r="AC30" i="7"/>
  <c r="AD30" i="7" s="1"/>
  <c r="AC46" i="7"/>
  <c r="AD46" i="7" s="1"/>
  <c r="AC62" i="7"/>
  <c r="AD62" i="7" s="1"/>
  <c r="AC78" i="7"/>
  <c r="AD78" i="7" s="1"/>
  <c r="AC94" i="7"/>
  <c r="AD94" i="7" s="1"/>
  <c r="AC110" i="7"/>
  <c r="AD110" i="7" s="1"/>
  <c r="AC126" i="7"/>
  <c r="AD126" i="7" s="1"/>
  <c r="AC142" i="7"/>
  <c r="AD142" i="7" s="1"/>
  <c r="AC158" i="7"/>
  <c r="AD158" i="7" s="1"/>
  <c r="AC174" i="7"/>
  <c r="AD174" i="7" s="1"/>
  <c r="AC190" i="7"/>
  <c r="AD190" i="7" s="1"/>
  <c r="AC206" i="7"/>
  <c r="AD206" i="7" s="1"/>
  <c r="AC222" i="7"/>
  <c r="AD222" i="7" s="1"/>
  <c r="AB94" i="7"/>
  <c r="W94" i="7" s="1"/>
  <c r="AB174" i="7"/>
  <c r="W174" i="7" s="1"/>
  <c r="AB222" i="7"/>
  <c r="W222" i="7" s="1"/>
  <c r="AC66" i="7"/>
  <c r="AD66" i="7" s="1"/>
  <c r="AC226" i="7"/>
  <c r="AD226" i="7" s="1"/>
  <c r="AB65" i="7"/>
  <c r="W65" i="7" s="1"/>
  <c r="AB113" i="7"/>
  <c r="W113" i="7" s="1"/>
  <c r="AB161" i="7"/>
  <c r="AC4" i="7"/>
  <c r="AD4" i="7" s="1"/>
  <c r="AC68" i="7"/>
  <c r="AD68" i="7" s="1"/>
  <c r="AC132" i="7"/>
  <c r="AD132" i="7" s="1"/>
  <c r="AC212" i="7"/>
  <c r="AD212" i="7" s="1"/>
  <c r="AC103" i="7"/>
  <c r="AD103" i="7" s="1"/>
  <c r="AB12" i="7"/>
  <c r="W12" i="7" s="1"/>
  <c r="AB28" i="7"/>
  <c r="AB44" i="7"/>
  <c r="W44" i="7" s="1"/>
  <c r="AB60" i="7"/>
  <c r="W60" i="7" s="1"/>
  <c r="AB76" i="7"/>
  <c r="AB92" i="7"/>
  <c r="W92" i="7" s="1"/>
  <c r="AB108" i="7"/>
  <c r="AB124" i="7"/>
  <c r="W124" i="7" s="1"/>
  <c r="AB140" i="7"/>
  <c r="W140" i="7" s="1"/>
  <c r="AB156" i="7"/>
  <c r="W156" i="7" s="1"/>
  <c r="AB172" i="7"/>
  <c r="AB188" i="7"/>
  <c r="W188" i="7" s="1"/>
  <c r="AB204" i="7"/>
  <c r="W204" i="7" s="1"/>
  <c r="AB220" i="7"/>
  <c r="W220" i="7" s="1"/>
  <c r="AB236" i="7"/>
  <c r="AC247" i="7"/>
  <c r="AD247" i="7" s="1"/>
  <c r="AB110" i="7"/>
  <c r="W110" i="7" s="1"/>
  <c r="AB158" i="7"/>
  <c r="W158" i="7" s="1"/>
  <c r="AB206" i="7"/>
  <c r="AC82" i="7"/>
  <c r="AD82" i="7" s="1"/>
  <c r="AC146" i="7"/>
  <c r="AD146" i="7" s="1"/>
  <c r="AC178" i="7"/>
  <c r="AD178" i="7" s="1"/>
  <c r="AC210" i="7"/>
  <c r="AD210" i="7" s="1"/>
  <c r="AB33" i="7"/>
  <c r="W33" i="7" s="1"/>
  <c r="AB97" i="7"/>
  <c r="W97" i="7" s="1"/>
  <c r="AB145" i="7"/>
  <c r="W145" i="7" s="1"/>
  <c r="AB225" i="7"/>
  <c r="W225" i="7" s="1"/>
  <c r="AC52" i="7"/>
  <c r="AD52" i="7" s="1"/>
  <c r="AC116" i="7"/>
  <c r="AD116" i="7" s="1"/>
  <c r="AC180" i="7"/>
  <c r="AD180" i="7" s="1"/>
  <c r="AC151" i="7"/>
  <c r="AD151" i="7" s="1"/>
  <c r="AB13" i="7"/>
  <c r="W13" i="7" s="1"/>
  <c r="AB29" i="7"/>
  <c r="W29" i="7" s="1"/>
  <c r="AB45" i="7"/>
  <c r="AB61" i="7"/>
  <c r="AB77" i="7"/>
  <c r="W77" i="7" s="1"/>
  <c r="AB93" i="7"/>
  <c r="W93" i="7" s="1"/>
  <c r="AB109" i="7"/>
  <c r="AB125" i="7"/>
  <c r="W125" i="7" s="1"/>
  <c r="AB141" i="7"/>
  <c r="W141" i="7" s="1"/>
  <c r="AB157" i="7"/>
  <c r="W157" i="7" s="1"/>
  <c r="AB173" i="7"/>
  <c r="W173" i="7" s="1"/>
  <c r="AB189" i="7"/>
  <c r="W189" i="7" s="1"/>
  <c r="AB205" i="7"/>
  <c r="AB221" i="7"/>
  <c r="W221" i="7" s="1"/>
  <c r="AC16" i="7"/>
  <c r="AD16" i="7" s="1"/>
  <c r="AC32" i="7"/>
  <c r="AD32" i="7" s="1"/>
  <c r="AC48" i="7"/>
  <c r="AD48" i="7" s="1"/>
  <c r="AC64" i="7"/>
  <c r="AD64" i="7" s="1"/>
  <c r="AC80" i="7"/>
  <c r="AD80" i="7" s="1"/>
  <c r="AC96" i="7"/>
  <c r="AD96" i="7" s="1"/>
  <c r="AC112" i="7"/>
  <c r="AD112" i="7" s="1"/>
  <c r="AC128" i="7"/>
  <c r="AD128" i="7" s="1"/>
  <c r="AC144" i="7"/>
  <c r="AD144" i="7" s="1"/>
  <c r="AC160" i="7"/>
  <c r="AD160" i="7" s="1"/>
  <c r="AC176" i="7"/>
  <c r="AD176" i="7" s="1"/>
  <c r="AC192" i="7"/>
  <c r="AD192" i="7" s="1"/>
  <c r="AC208" i="7"/>
  <c r="AD208" i="7" s="1"/>
  <c r="AC224" i="7"/>
  <c r="AD224" i="7" s="1"/>
  <c r="AB126" i="7"/>
  <c r="AB190" i="7"/>
  <c r="AB247" i="7"/>
  <c r="W247" i="7" s="1"/>
  <c r="AC114" i="7"/>
  <c r="AD114" i="7" s="1"/>
  <c r="AB17" i="7"/>
  <c r="AB209" i="7"/>
  <c r="W209" i="7" s="1"/>
  <c r="AC36" i="7"/>
  <c r="AD36" i="7" s="1"/>
  <c r="AC100" i="7"/>
  <c r="AD100" i="7" s="1"/>
  <c r="AC164" i="7"/>
  <c r="AD164" i="7" s="1"/>
  <c r="AC135" i="7"/>
  <c r="AD135" i="7" s="1"/>
  <c r="AB14" i="7"/>
  <c r="W14" i="7" s="1"/>
  <c r="AB30" i="7"/>
  <c r="AB46" i="7"/>
  <c r="W46" i="7" s="1"/>
  <c r="AB62" i="7"/>
  <c r="AB78" i="7"/>
  <c r="AB142" i="7"/>
  <c r="W142" i="7" s="1"/>
  <c r="AB15" i="7"/>
  <c r="AB31" i="7"/>
  <c r="W31" i="7" s="1"/>
  <c r="AB47" i="7"/>
  <c r="W47" i="7" s="1"/>
  <c r="AB63" i="7"/>
  <c r="W63" i="7" s="1"/>
  <c r="AB79" i="7"/>
  <c r="W79" i="7" s="1"/>
  <c r="AB95" i="7"/>
  <c r="W95" i="7" s="1"/>
  <c r="AB111" i="7"/>
  <c r="AB127" i="7"/>
  <c r="AB143" i="7"/>
  <c r="AB159" i="7"/>
  <c r="W159" i="7" s="1"/>
  <c r="AB175" i="7"/>
  <c r="W175" i="7" s="1"/>
  <c r="AB191" i="7"/>
  <c r="W191" i="7" s="1"/>
  <c r="AB207" i="7"/>
  <c r="AB223" i="7"/>
  <c r="W223" i="7" s="1"/>
  <c r="AC2" i="7"/>
  <c r="AD2" i="7" s="1"/>
  <c r="AC18" i="7"/>
  <c r="AD18" i="7" s="1"/>
  <c r="AC34" i="7"/>
  <c r="AD34" i="7" s="1"/>
  <c r="AC50" i="7"/>
  <c r="AD50" i="7" s="1"/>
  <c r="AC98" i="7"/>
  <c r="AD98" i="7" s="1"/>
  <c r="AC130" i="7"/>
  <c r="AD130" i="7" s="1"/>
  <c r="AC162" i="7"/>
  <c r="AD162" i="7" s="1"/>
  <c r="AC194" i="7"/>
  <c r="AD194" i="7" s="1"/>
  <c r="AC196" i="7"/>
  <c r="AD196" i="7" s="1"/>
  <c r="AB16" i="7"/>
  <c r="W16" i="7" s="1"/>
  <c r="AB32" i="7"/>
  <c r="W32" i="7" s="1"/>
  <c r="AB48" i="7"/>
  <c r="W48" i="7" s="1"/>
  <c r="AB64" i="7"/>
  <c r="AB80" i="7"/>
  <c r="W80" i="7" s="1"/>
  <c r="AB96" i="7"/>
  <c r="AB112" i="7"/>
  <c r="W112" i="7" s="1"/>
  <c r="AB128" i="7"/>
  <c r="AB144" i="7"/>
  <c r="W144" i="7" s="1"/>
  <c r="AB160" i="7"/>
  <c r="W160" i="7" s="1"/>
  <c r="AB176" i="7"/>
  <c r="W176" i="7" s="1"/>
  <c r="AB192" i="7"/>
  <c r="AB208" i="7"/>
  <c r="W208" i="7" s="1"/>
  <c r="AB224" i="7"/>
  <c r="W224" i="7" s="1"/>
  <c r="AC3" i="7"/>
  <c r="AD3" i="7" s="1"/>
  <c r="AC19" i="7"/>
  <c r="AD19" i="7" s="1"/>
  <c r="AC35" i="7"/>
  <c r="AD35" i="7" s="1"/>
  <c r="AC51" i="7"/>
  <c r="AD51" i="7" s="1"/>
  <c r="AC67" i="7"/>
  <c r="AD67" i="7" s="1"/>
  <c r="AC83" i="7"/>
  <c r="AD83" i="7" s="1"/>
  <c r="AC99" i="7"/>
  <c r="AD99" i="7" s="1"/>
  <c r="AC115" i="7"/>
  <c r="AD115" i="7" s="1"/>
  <c r="AC131" i="7"/>
  <c r="AD131" i="7" s="1"/>
  <c r="AC147" i="7"/>
  <c r="AD147" i="7" s="1"/>
  <c r="AC163" i="7"/>
  <c r="AD163" i="7" s="1"/>
  <c r="AC179" i="7"/>
  <c r="AD179" i="7" s="1"/>
  <c r="AC195" i="7"/>
  <c r="AD195" i="7" s="1"/>
  <c r="AC211" i="7"/>
  <c r="AD211" i="7" s="1"/>
  <c r="AC227" i="7"/>
  <c r="AD227" i="7" s="1"/>
  <c r="AB49" i="7"/>
  <c r="W49" i="7" s="1"/>
  <c r="AB81" i="7"/>
  <c r="W81" i="7" s="1"/>
  <c r="AB193" i="7"/>
  <c r="AC20" i="7"/>
  <c r="AD20" i="7" s="1"/>
  <c r="AC84" i="7"/>
  <c r="AD84" i="7" s="1"/>
  <c r="AC148" i="7"/>
  <c r="AD148" i="7" s="1"/>
  <c r="AC228" i="7"/>
  <c r="AD228" i="7" s="1"/>
  <c r="AC167" i="7"/>
  <c r="AD167" i="7" s="1"/>
  <c r="AB129" i="7"/>
  <c r="W129" i="7" s="1"/>
  <c r="AB2" i="7"/>
  <c r="W2" i="7" s="1"/>
  <c r="AB18" i="7"/>
  <c r="W18" i="7" s="1"/>
  <c r="AB34" i="7"/>
  <c r="W34" i="7" s="1"/>
  <c r="AB50" i="7"/>
  <c r="AB66" i="7"/>
  <c r="W66" i="7" s="1"/>
  <c r="AB82" i="7"/>
  <c r="AB98" i="7"/>
  <c r="W98" i="7" s="1"/>
  <c r="AB114" i="7"/>
  <c r="W114" i="7" s="1"/>
  <c r="AB130" i="7"/>
  <c r="W130" i="7" s="1"/>
  <c r="AB146" i="7"/>
  <c r="W146" i="7" s="1"/>
  <c r="AB162" i="7"/>
  <c r="W162" i="7" s="1"/>
  <c r="AB178" i="7"/>
  <c r="W178" i="7" s="1"/>
  <c r="AB194" i="7"/>
  <c r="W194" i="7" s="1"/>
  <c r="AB210" i="7"/>
  <c r="W210" i="7" s="1"/>
  <c r="AB226" i="7"/>
  <c r="W226" i="7" s="1"/>
  <c r="AC5" i="7"/>
  <c r="AD5" i="7" s="1"/>
  <c r="AC21" i="7"/>
  <c r="AD21" i="7" s="1"/>
  <c r="AC37" i="7"/>
  <c r="AD37" i="7" s="1"/>
  <c r="AC53" i="7"/>
  <c r="AD53" i="7" s="1"/>
  <c r="AC69" i="7"/>
  <c r="AD69" i="7" s="1"/>
  <c r="AC85" i="7"/>
  <c r="AD85" i="7" s="1"/>
  <c r="AC101" i="7"/>
  <c r="AD101" i="7" s="1"/>
  <c r="AC117" i="7"/>
  <c r="AD117" i="7" s="1"/>
  <c r="AC133" i="7"/>
  <c r="AD133" i="7" s="1"/>
  <c r="AC149" i="7"/>
  <c r="AD149" i="7" s="1"/>
  <c r="AC165" i="7"/>
  <c r="AD165" i="7" s="1"/>
  <c r="AC181" i="7"/>
  <c r="AD181" i="7" s="1"/>
  <c r="AC197" i="7"/>
  <c r="AD197" i="7" s="1"/>
  <c r="AC213" i="7"/>
  <c r="AD213" i="7" s="1"/>
  <c r="AC229" i="7"/>
  <c r="AD229" i="7" s="1"/>
  <c r="AB20" i="7"/>
  <c r="AB52" i="7"/>
  <c r="W52" i="7" s="1"/>
  <c r="AB68" i="7"/>
  <c r="W68" i="7" s="1"/>
  <c r="AB100" i="7"/>
  <c r="W100" i="7" s="1"/>
  <c r="AB132" i="7"/>
  <c r="W132" i="7" s="1"/>
  <c r="AB164" i="7"/>
  <c r="AB196" i="7"/>
  <c r="AB212" i="7"/>
  <c r="AC7" i="7"/>
  <c r="AD7" i="7" s="1"/>
  <c r="AC39" i="7"/>
  <c r="AD39" i="7" s="1"/>
  <c r="AC71" i="7"/>
  <c r="AD71" i="7" s="1"/>
  <c r="AC119" i="7"/>
  <c r="AD119" i="7" s="1"/>
  <c r="AC199" i="7"/>
  <c r="AD199" i="7" s="1"/>
  <c r="AC215" i="7"/>
  <c r="AD215" i="7" s="1"/>
  <c r="AB3" i="7"/>
  <c r="W3" i="7" s="1"/>
  <c r="AB19" i="7"/>
  <c r="W19" i="7" s="1"/>
  <c r="AB35" i="7"/>
  <c r="AB51" i="7"/>
  <c r="AB67" i="7"/>
  <c r="AB83" i="7"/>
  <c r="W83" i="7" s="1"/>
  <c r="AB99" i="7"/>
  <c r="W99" i="7" s="1"/>
  <c r="AB115" i="7"/>
  <c r="W115" i="7" s="1"/>
  <c r="AB131" i="7"/>
  <c r="W131" i="7" s="1"/>
  <c r="AB147" i="7"/>
  <c r="W147" i="7" s="1"/>
  <c r="AB163" i="7"/>
  <c r="W163" i="7" s="1"/>
  <c r="AB179" i="7"/>
  <c r="AB195" i="7"/>
  <c r="W195" i="7" s="1"/>
  <c r="AB211" i="7"/>
  <c r="W211" i="7" s="1"/>
  <c r="AB227" i="7"/>
  <c r="W227" i="7" s="1"/>
  <c r="AC6" i="7"/>
  <c r="AD6" i="7" s="1"/>
  <c r="AC22" i="7"/>
  <c r="AD22" i="7" s="1"/>
  <c r="AC38" i="7"/>
  <c r="AD38" i="7" s="1"/>
  <c r="AC54" i="7"/>
  <c r="AD54" i="7" s="1"/>
  <c r="AC70" i="7"/>
  <c r="AD70" i="7" s="1"/>
  <c r="AC86" i="7"/>
  <c r="AD86" i="7" s="1"/>
  <c r="AC102" i="7"/>
  <c r="AD102" i="7" s="1"/>
  <c r="AC118" i="7"/>
  <c r="AD118" i="7" s="1"/>
  <c r="AC134" i="7"/>
  <c r="AD134" i="7" s="1"/>
  <c r="AC150" i="7"/>
  <c r="AD150" i="7" s="1"/>
  <c r="AC166" i="7"/>
  <c r="AD166" i="7" s="1"/>
  <c r="AC182" i="7"/>
  <c r="AD182" i="7" s="1"/>
  <c r="AC198" i="7"/>
  <c r="AD198" i="7" s="1"/>
  <c r="AC214" i="7"/>
  <c r="AD214" i="7" s="1"/>
  <c r="AC230" i="7"/>
  <c r="AD230" i="7" s="1"/>
  <c r="AB4" i="7"/>
  <c r="W4" i="7" s="1"/>
  <c r="AB36" i="7"/>
  <c r="W36" i="7" s="1"/>
  <c r="AB84" i="7"/>
  <c r="W84" i="7" s="1"/>
  <c r="AB116" i="7"/>
  <c r="W116" i="7" s="1"/>
  <c r="AB148" i="7"/>
  <c r="W148" i="7" s="1"/>
  <c r="AB180" i="7"/>
  <c r="W180" i="7" s="1"/>
  <c r="AB228" i="7"/>
  <c r="W228" i="7" s="1"/>
  <c r="AC23" i="7"/>
  <c r="AD23" i="7" s="1"/>
  <c r="AC55" i="7"/>
  <c r="AD55" i="7" s="1"/>
  <c r="AC87" i="7"/>
  <c r="AD87" i="7" s="1"/>
  <c r="AC183" i="7"/>
  <c r="AD183" i="7" s="1"/>
  <c r="AC231" i="7"/>
  <c r="AD231" i="7" s="1"/>
  <c r="AC170" i="7"/>
  <c r="AD170" i="7" s="1"/>
  <c r="AC65" i="7"/>
  <c r="AD65" i="7" s="1"/>
  <c r="AC209" i="7"/>
  <c r="AD209" i="7" s="1"/>
  <c r="AC90" i="7"/>
  <c r="AD90" i="7" s="1"/>
  <c r="AC255" i="7"/>
  <c r="AD255" i="7" s="1"/>
  <c r="AC250" i="7"/>
  <c r="AD250" i="7" s="1"/>
  <c r="AC138" i="7"/>
  <c r="AD138" i="7" s="1"/>
  <c r="AC17" i="7"/>
  <c r="AD17" i="7" s="1"/>
  <c r="AC161" i="7"/>
  <c r="AD161" i="7" s="1"/>
  <c r="AC10" i="7"/>
  <c r="AD10" i="7" s="1"/>
  <c r="AB239" i="7"/>
  <c r="AB250" i="7"/>
  <c r="AC58" i="7"/>
  <c r="AD58" i="7" s="1"/>
  <c r="AC191" i="7"/>
  <c r="AD191" i="7" s="1"/>
  <c r="AC113" i="7"/>
  <c r="AD113" i="7" s="1"/>
  <c r="AB245" i="7"/>
  <c r="AC238" i="7"/>
  <c r="AD238" i="7" s="1"/>
  <c r="AC249" i="7"/>
  <c r="AD249" i="7" s="1"/>
  <c r="AC42" i="7"/>
  <c r="AD42" i="7" s="1"/>
  <c r="AC159" i="7"/>
  <c r="AD159" i="7" s="1"/>
  <c r="AC81" i="7"/>
  <c r="AD81" i="7" s="1"/>
  <c r="AB177" i="7"/>
  <c r="W177" i="7" s="1"/>
  <c r="AB254" i="7"/>
  <c r="AB249" i="7"/>
  <c r="AC26" i="7"/>
  <c r="AD26" i="7" s="1"/>
  <c r="AC111" i="7"/>
  <c r="AD111" i="7" s="1"/>
  <c r="AC33" i="7"/>
  <c r="AD33" i="7" s="1"/>
  <c r="AB244" i="7"/>
  <c r="W244" i="7" s="1"/>
  <c r="AB238" i="7"/>
  <c r="W238" i="7" s="1"/>
  <c r="AC248" i="7"/>
  <c r="AD248" i="7" s="1"/>
  <c r="AB255" i="7"/>
  <c r="W255" i="7" s="1"/>
  <c r="AC79" i="7"/>
  <c r="AD79" i="7" s="1"/>
  <c r="AC47" i="7"/>
  <c r="AD47" i="7" s="1"/>
  <c r="AC223" i="7"/>
  <c r="AD223" i="7" s="1"/>
  <c r="AB243" i="7"/>
  <c r="W243" i="7" s="1"/>
  <c r="AC253" i="7"/>
  <c r="AD253" i="7" s="1"/>
  <c r="AB246" i="7"/>
  <c r="AC237" i="7"/>
  <c r="AD237" i="7" s="1"/>
  <c r="AC225" i="7"/>
  <c r="AD225" i="7" s="1"/>
  <c r="AC239" i="7"/>
  <c r="AD239" i="7" s="1"/>
  <c r="AC177" i="7"/>
  <c r="AD177" i="7" s="1"/>
  <c r="AB242" i="7"/>
  <c r="W242" i="7" s="1"/>
  <c r="AC63" i="7"/>
  <c r="AD63" i="7" s="1"/>
  <c r="AC193" i="7"/>
  <c r="AD193" i="7" s="1"/>
  <c r="AC240" i="7"/>
  <c r="AD240" i="7" s="1"/>
  <c r="AC15" i="7"/>
  <c r="AD15" i="7" s="1"/>
  <c r="AC207" i="7"/>
  <c r="AD207" i="7" s="1"/>
  <c r="AC257" i="7"/>
  <c r="AD257" i="7" s="1"/>
  <c r="AC246" i="7"/>
  <c r="AD246" i="7" s="1"/>
  <c r="AC95" i="7"/>
  <c r="AD95" i="7" s="1"/>
  <c r="AC129" i="7"/>
  <c r="AD129" i="7" s="1"/>
  <c r="AC252" i="7"/>
  <c r="AD252" i="7" s="1"/>
  <c r="AC49" i="7"/>
  <c r="AD49" i="7" s="1"/>
  <c r="AB252" i="7"/>
  <c r="W252" i="7" s="1"/>
  <c r="AC218" i="7"/>
  <c r="AD218" i="7" s="1"/>
  <c r="AC175" i="7"/>
  <c r="AD175" i="7" s="1"/>
  <c r="AC241" i="7"/>
  <c r="AD241" i="7" s="1"/>
  <c r="AB253" i="7"/>
  <c r="W253" i="7" s="1"/>
  <c r="AC245" i="7"/>
  <c r="AD245" i="7" s="1"/>
  <c r="AC74" i="7"/>
  <c r="AD74" i="7" s="1"/>
  <c r="AC143" i="7"/>
  <c r="AD143" i="7" s="1"/>
  <c r="AB257" i="7"/>
  <c r="W257" i="7" s="1"/>
  <c r="AB237" i="7"/>
  <c r="W237" i="7" s="1"/>
  <c r="AC244" i="7"/>
  <c r="AD244" i="7" s="1"/>
  <c r="AC127" i="7"/>
  <c r="AD127" i="7" s="1"/>
  <c r="AB241" i="7"/>
  <c r="W241" i="7" s="1"/>
  <c r="AC186" i="7"/>
  <c r="AD186" i="7" s="1"/>
  <c r="AC254" i="7"/>
  <c r="AD254" i="7" s="1"/>
  <c r="AC122" i="7"/>
  <c r="AD122" i="7" s="1"/>
  <c r="AC256" i="7"/>
  <c r="AD256" i="7" s="1"/>
  <c r="AC31" i="7"/>
  <c r="AD31" i="7" s="1"/>
  <c r="AC145" i="7"/>
  <c r="AD145" i="7" s="1"/>
  <c r="AC234" i="7"/>
  <c r="AD234" i="7" s="1"/>
  <c r="AC202" i="7"/>
  <c r="AD202" i="7" s="1"/>
  <c r="AB256" i="7"/>
  <c r="AC251" i="7"/>
  <c r="AD251" i="7" s="1"/>
  <c r="AC97" i="7"/>
  <c r="AD97" i="7" s="1"/>
  <c r="AC106" i="7"/>
  <c r="AD106" i="7" s="1"/>
  <c r="AC154" i="7"/>
  <c r="AD154" i="7" s="1"/>
  <c r="AB240" i="7"/>
  <c r="W240" i="7" s="1"/>
  <c r="AB251" i="7"/>
  <c r="W251" i="7" s="1"/>
  <c r="AC243" i="7"/>
  <c r="AD243" i="7" s="1"/>
  <c r="AB248" i="7"/>
  <c r="W248" i="7" s="1"/>
  <c r="N31" i="2"/>
  <c r="S31" i="2" s="1"/>
  <c r="N23" i="2"/>
  <c r="S23" i="2" s="1"/>
  <c r="N34" i="2"/>
  <c r="S34" i="2" s="1"/>
  <c r="N19" i="2"/>
  <c r="S19" i="2" s="1"/>
  <c r="N11" i="2"/>
  <c r="S11" i="2" s="1"/>
  <c r="N3" i="2"/>
  <c r="S3" i="2" s="1"/>
  <c r="N18" i="2"/>
  <c r="S18" i="2" s="1"/>
  <c r="N29" i="2"/>
  <c r="S29" i="2" s="1"/>
  <c r="N30" i="2"/>
  <c r="S30" i="2" s="1"/>
  <c r="N28" i="2"/>
  <c r="S28" i="2" s="1"/>
  <c r="N36" i="2"/>
  <c r="S36" i="2" s="1"/>
  <c r="N5" i="2"/>
  <c r="S5" i="2" s="1"/>
  <c r="N9" i="2"/>
  <c r="S9" i="2" s="1"/>
  <c r="N2" i="2"/>
  <c r="S2" i="2" s="1"/>
  <c r="N10" i="2"/>
  <c r="S10" i="2" s="1"/>
  <c r="N32" i="2"/>
  <c r="S32" i="2" s="1"/>
  <c r="N24" i="2"/>
  <c r="S24" i="2" s="1"/>
  <c r="N27" i="2"/>
  <c r="S27" i="2" s="1"/>
  <c r="N13" i="2"/>
  <c r="S13" i="2" s="1"/>
  <c r="F5" i="2"/>
  <c r="G37" i="2"/>
  <c r="I14" i="2"/>
  <c r="I30" i="2"/>
  <c r="G261" i="7"/>
  <c r="I34" i="2"/>
  <c r="G12" i="2"/>
  <c r="G13" i="2"/>
  <c r="AE261" i="7"/>
  <c r="H261" i="7" s="1"/>
  <c r="G8" i="2"/>
  <c r="I7" i="2"/>
  <c r="G20" i="2"/>
  <c r="I18" i="2"/>
  <c r="I13" i="2"/>
  <c r="I11" i="2"/>
  <c r="F6" i="2"/>
  <c r="R11" i="5" a="1"/>
  <c r="R11" i="5" s="1"/>
  <c r="F23" i="2"/>
  <c r="F11" i="2"/>
  <c r="G33" i="2"/>
  <c r="F26" i="2"/>
  <c r="G5" i="2"/>
  <c r="I16" i="2"/>
  <c r="F37" i="2"/>
  <c r="I5" i="2"/>
  <c r="G32" i="2"/>
  <c r="I10" i="2"/>
  <c r="I21" i="2"/>
  <c r="I28" i="2"/>
  <c r="G18" i="2"/>
  <c r="G21" i="2"/>
  <c r="I6" i="2"/>
  <c r="I26" i="2"/>
  <c r="I32" i="2"/>
  <c r="F10" i="2"/>
  <c r="F28" i="2"/>
  <c r="G10" i="2"/>
  <c r="G28" i="2"/>
  <c r="F13" i="2"/>
  <c r="F22" i="2"/>
  <c r="F29" i="2"/>
  <c r="F12" i="2"/>
  <c r="F14" i="2"/>
  <c r="F20" i="2"/>
  <c r="F27" i="2"/>
  <c r="I8" i="2"/>
  <c r="G17" i="2"/>
  <c r="G25" i="2"/>
  <c r="I27" i="2"/>
  <c r="I3" i="2"/>
  <c r="F32" i="2"/>
  <c r="G4" i="2"/>
  <c r="G9" i="2"/>
  <c r="F17" i="2"/>
  <c r="F19" i="2"/>
  <c r="G16" i="2"/>
  <c r="F25" i="2"/>
  <c r="F4" i="5"/>
  <c r="G2" i="2"/>
  <c r="I24" i="2"/>
  <c r="F2" i="2"/>
  <c r="I22" i="2"/>
  <c r="G34" i="2"/>
  <c r="G24" i="2"/>
  <c r="F9" i="2"/>
  <c r="F7" i="2"/>
  <c r="F34" i="2"/>
  <c r="G36" i="2"/>
  <c r="G11" i="2"/>
  <c r="G35" i="2"/>
  <c r="G19" i="2"/>
  <c r="G3" i="2"/>
  <c r="I25" i="2"/>
  <c r="F35" i="2"/>
  <c r="F36" i="2"/>
  <c r="F21" i="2"/>
  <c r="I23" i="2"/>
  <c r="G29" i="2"/>
  <c r="G26" i="2"/>
  <c r="G27" i="2"/>
  <c r="F18" i="2"/>
  <c r="F30" i="2"/>
  <c r="F33" i="2"/>
  <c r="F2" i="5"/>
  <c r="I15" i="2"/>
  <c r="F3" i="5"/>
  <c r="F8" i="2"/>
  <c r="I9" i="2"/>
  <c r="I33" i="2"/>
  <c r="I36" i="2"/>
  <c r="I2" i="2"/>
  <c r="F4" i="2"/>
  <c r="F16" i="2"/>
  <c r="I17" i="2"/>
  <c r="I20" i="2"/>
  <c r="I31" i="2"/>
  <c r="I35" i="2"/>
  <c r="I29" i="2"/>
  <c r="F31" i="2"/>
  <c r="F3" i="2"/>
  <c r="F15" i="2"/>
  <c r="I19" i="2"/>
  <c r="F24" i="2"/>
  <c r="I37" i="2"/>
  <c r="G6" i="2"/>
  <c r="G14" i="2"/>
  <c r="G22" i="2"/>
  <c r="G30" i="2"/>
  <c r="I4" i="2"/>
  <c r="I12" i="2"/>
  <c r="G7" i="2"/>
  <c r="G15" i="2"/>
  <c r="G23" i="2"/>
  <c r="G31" i="2"/>
  <c r="H3" i="5"/>
  <c r="E3" i="5"/>
  <c r="E4" i="5"/>
  <c r="H2" i="5"/>
  <c r="H4" i="5"/>
  <c r="E2" i="5"/>
  <c r="L31" i="2" l="1"/>
  <c r="J31" i="2" s="1"/>
  <c r="L12" i="2"/>
  <c r="T12" i="2" s="1"/>
  <c r="K37" i="2"/>
  <c r="R37" i="2" s="1"/>
  <c r="L14" i="2"/>
  <c r="J14" i="2" s="1"/>
  <c r="K14" i="2"/>
  <c r="R14" i="2" s="1"/>
  <c r="L20" i="2"/>
  <c r="J20" i="2" s="1"/>
  <c r="K12" i="2"/>
  <c r="Q12" i="2" s="1"/>
  <c r="K15" i="2"/>
  <c r="R15" i="2" s="1"/>
  <c r="K33" i="2"/>
  <c r="Q33" i="2" s="1"/>
  <c r="L26" i="2"/>
  <c r="J26" i="2" s="1"/>
  <c r="K26" i="2"/>
  <c r="R26" i="2" s="1"/>
  <c r="N21" i="2"/>
  <c r="S21" i="2" s="1"/>
  <c r="N20" i="2"/>
  <c r="S20" i="2" s="1"/>
  <c r="N25" i="2"/>
  <c r="S25" i="2" s="1"/>
  <c r="N22" i="2"/>
  <c r="S22" i="2" s="1"/>
  <c r="N16" i="2"/>
  <c r="S16" i="2" s="1"/>
  <c r="P261" i="7"/>
  <c r="K20" i="2"/>
  <c r="Q20" i="2" s="1"/>
  <c r="N4" i="5"/>
  <c r="R4" i="5" s="1"/>
  <c r="N3" i="5"/>
  <c r="R3" i="5" s="1"/>
  <c r="N2" i="5"/>
  <c r="R2" i="5" s="1"/>
  <c r="AA261" i="7"/>
  <c r="K23" i="2"/>
  <c r="R23" i="2" s="1"/>
  <c r="L23" i="2"/>
  <c r="T23" i="2" s="1"/>
  <c r="K32" i="2"/>
  <c r="R32" i="2" s="1"/>
  <c r="K9" i="2"/>
  <c r="R9" i="2" s="1"/>
  <c r="L30" i="2"/>
  <c r="P30" i="2" s="1"/>
  <c r="L19" i="2"/>
  <c r="J19" i="2" s="1"/>
  <c r="K18" i="2"/>
  <c r="R18" i="2" s="1"/>
  <c r="L8" i="2"/>
  <c r="J8" i="2" s="1"/>
  <c r="L33" i="2"/>
  <c r="P33" i="2" s="1"/>
  <c r="K10" i="2"/>
  <c r="R10" i="2" s="1"/>
  <c r="K8" i="2"/>
  <c r="K31" i="2"/>
  <c r="K29" i="2"/>
  <c r="Q29" i="2" s="1"/>
  <c r="L7" i="2"/>
  <c r="T7" i="2" s="1"/>
  <c r="K7" i="2"/>
  <c r="R7" i="2" s="1"/>
  <c r="L15" i="2"/>
  <c r="P15" i="2" s="1"/>
  <c r="K34" i="2"/>
  <c r="Q34" i="2" s="1"/>
  <c r="L9" i="2"/>
  <c r="T9" i="2" s="1"/>
  <c r="K4" i="2"/>
  <c r="K6" i="2"/>
  <c r="Q6" i="2" s="1"/>
  <c r="K25" i="2"/>
  <c r="Q25" i="2" s="1"/>
  <c r="L27" i="2"/>
  <c r="J27" i="2" s="1"/>
  <c r="K16" i="2"/>
  <c r="Q16" i="2" s="1"/>
  <c r="L37" i="2"/>
  <c r="K19" i="2"/>
  <c r="Q19" i="2" s="1"/>
  <c r="K2" i="2"/>
  <c r="R2" i="2" s="1"/>
  <c r="L32" i="2"/>
  <c r="P32" i="2" s="1"/>
  <c r="L25" i="2"/>
  <c r="P25" i="2" s="1"/>
  <c r="L6" i="2"/>
  <c r="T6" i="2" s="1"/>
  <c r="K27" i="2"/>
  <c r="R27" i="2" s="1"/>
  <c r="K36" i="2"/>
  <c r="Q36" i="2" s="1"/>
  <c r="K24" i="2"/>
  <c r="K35" i="2"/>
  <c r="L24" i="2"/>
  <c r="J24" i="2" s="1"/>
  <c r="K17" i="2"/>
  <c r="L22" i="2"/>
  <c r="P22" i="2" s="1"/>
  <c r="K30" i="2"/>
  <c r="AB261" i="7"/>
  <c r="AC261" i="7"/>
  <c r="K11" i="2"/>
  <c r="R11" i="2" s="1"/>
  <c r="I31" i="5"/>
  <c r="K21" i="2"/>
  <c r="R21" i="2" s="1"/>
  <c r="L28" i="2"/>
  <c r="J28" i="2" s="1"/>
  <c r="L18" i="2"/>
  <c r="J31" i="5"/>
  <c r="L4" i="5"/>
  <c r="K13" i="2"/>
  <c r="R13" i="2" s="1"/>
  <c r="I28" i="5"/>
  <c r="K28" i="2"/>
  <c r="L34" i="2"/>
  <c r="K4" i="5"/>
  <c r="Q4" i="5" s="1"/>
  <c r="J28" i="5"/>
  <c r="K3" i="2"/>
  <c r="R3" i="2" s="1"/>
  <c r="L3" i="5"/>
  <c r="L2" i="2"/>
  <c r="T2" i="2" s="1"/>
  <c r="K22" i="2"/>
  <c r="R22" i="2" s="1"/>
  <c r="L29" i="2"/>
  <c r="L17" i="2"/>
  <c r="L3" i="2"/>
  <c r="L2" i="5"/>
  <c r="L36" i="2"/>
  <c r="L4" i="2"/>
  <c r="K5" i="2"/>
  <c r="L16" i="2"/>
  <c r="L10" i="2"/>
  <c r="L21" i="2"/>
  <c r="L5" i="2"/>
  <c r="L35" i="2"/>
  <c r="K2" i="5"/>
  <c r="Q2" i="5" s="1"/>
  <c r="L13" i="2"/>
  <c r="K3" i="5"/>
  <c r="Q3" i="5" s="1"/>
  <c r="L11" i="2"/>
  <c r="P31" i="2" l="1"/>
  <c r="T31" i="2"/>
  <c r="J12" i="2"/>
  <c r="P12" i="2"/>
  <c r="Q37" i="2"/>
  <c r="Q14" i="2"/>
  <c r="T14" i="2"/>
  <c r="O14" i="2"/>
  <c r="P20" i="2"/>
  <c r="T20" i="2"/>
  <c r="P14" i="2"/>
  <c r="Q15" i="2"/>
  <c r="R12" i="2"/>
  <c r="O12" i="2"/>
  <c r="R33" i="2"/>
  <c r="T26" i="2"/>
  <c r="P26" i="2"/>
  <c r="O26" i="2"/>
  <c r="Q26" i="2"/>
  <c r="R10" i="5"/>
  <c r="R12" i="5" s="1"/>
  <c r="S3" i="5"/>
  <c r="O20" i="2"/>
  <c r="R20" i="2"/>
  <c r="S4" i="5"/>
  <c r="S2" i="5"/>
  <c r="R29" i="2"/>
  <c r="Q9" i="2"/>
  <c r="Q23" i="2"/>
  <c r="O23" i="2"/>
  <c r="P23" i="2"/>
  <c r="J23" i="2"/>
  <c r="J30" i="2"/>
  <c r="Q32" i="2"/>
  <c r="T33" i="2"/>
  <c r="T8" i="2"/>
  <c r="T30" i="2"/>
  <c r="P6" i="2"/>
  <c r="T19" i="2"/>
  <c r="P19" i="2"/>
  <c r="P9" i="2"/>
  <c r="J9" i="2"/>
  <c r="J33" i="2"/>
  <c r="P8" i="2"/>
  <c r="P27" i="2"/>
  <c r="O9" i="2"/>
  <c r="R34" i="2"/>
  <c r="R16" i="2"/>
  <c r="Q18" i="2"/>
  <c r="Q7" i="2"/>
  <c r="J7" i="2"/>
  <c r="O33" i="2"/>
  <c r="T27" i="2"/>
  <c r="Q2" i="2"/>
  <c r="Q10" i="2"/>
  <c r="O31" i="2"/>
  <c r="R31" i="2"/>
  <c r="Q31" i="2"/>
  <c r="R8" i="2"/>
  <c r="Q8" i="2"/>
  <c r="O8" i="2"/>
  <c r="O7" i="2"/>
  <c r="P7" i="2"/>
  <c r="T15" i="2"/>
  <c r="J15" i="2"/>
  <c r="O15" i="2"/>
  <c r="J6" i="2"/>
  <c r="R4" i="2"/>
  <c r="Q4" i="2"/>
  <c r="O6" i="2"/>
  <c r="R6" i="2"/>
  <c r="R25" i="2"/>
  <c r="J32" i="2"/>
  <c r="J25" i="2"/>
  <c r="J22" i="2"/>
  <c r="O27" i="2"/>
  <c r="T32" i="2"/>
  <c r="Q27" i="2"/>
  <c r="R19" i="2"/>
  <c r="O25" i="2"/>
  <c r="O37" i="2"/>
  <c r="P37" i="2"/>
  <c r="J37" i="2"/>
  <c r="T37" i="2"/>
  <c r="T22" i="2"/>
  <c r="O19" i="2"/>
  <c r="T25" i="2"/>
  <c r="O32" i="2"/>
  <c r="R36" i="2"/>
  <c r="Q30" i="2"/>
  <c r="R30" i="2"/>
  <c r="R17" i="2"/>
  <c r="Q17" i="2"/>
  <c r="P24" i="2"/>
  <c r="O24" i="2"/>
  <c r="T24" i="2"/>
  <c r="O30" i="2"/>
  <c r="Q35" i="2"/>
  <c r="R35" i="2"/>
  <c r="R24" i="2"/>
  <c r="Q24" i="2"/>
  <c r="AD261" i="7"/>
  <c r="T28" i="2"/>
  <c r="O28" i="2"/>
  <c r="Q11" i="2"/>
  <c r="P28" i="2"/>
  <c r="Q22" i="2"/>
  <c r="O22" i="2"/>
  <c r="Q21" i="2"/>
  <c r="O3" i="2"/>
  <c r="Q3" i="2"/>
  <c r="J18" i="2"/>
  <c r="O18" i="2"/>
  <c r="P18" i="2"/>
  <c r="T18" i="2"/>
  <c r="P4" i="5"/>
  <c r="Q13" i="2"/>
  <c r="O2" i="2"/>
  <c r="P2" i="2"/>
  <c r="R28" i="2"/>
  <c r="J2" i="2"/>
  <c r="Q28" i="2"/>
  <c r="P3" i="5"/>
  <c r="J3" i="2"/>
  <c r="T3" i="2"/>
  <c r="P3" i="2"/>
  <c r="T29" i="2"/>
  <c r="O29" i="2"/>
  <c r="J29" i="2"/>
  <c r="P29" i="2"/>
  <c r="J34" i="2"/>
  <c r="P34" i="2"/>
  <c r="O34" i="2"/>
  <c r="T34" i="2"/>
  <c r="O4" i="5"/>
  <c r="J17" i="2"/>
  <c r="P17" i="2"/>
  <c r="O17" i="2"/>
  <c r="T17" i="2"/>
  <c r="O5" i="2"/>
  <c r="J5" i="2"/>
  <c r="T5" i="2"/>
  <c r="P5" i="2"/>
  <c r="J35" i="2"/>
  <c r="P35" i="2"/>
  <c r="O35" i="2"/>
  <c r="T35" i="2"/>
  <c r="O4" i="2"/>
  <c r="P4" i="2"/>
  <c r="T4" i="2"/>
  <c r="J4" i="2"/>
  <c r="R5" i="2"/>
  <c r="Q5" i="2"/>
  <c r="J11" i="2"/>
  <c r="O11" i="2"/>
  <c r="T11" i="2"/>
  <c r="P11" i="2"/>
  <c r="O21" i="2"/>
  <c r="T21" i="2"/>
  <c r="P21" i="2"/>
  <c r="J21" i="2"/>
  <c r="O36" i="2"/>
  <c r="P36" i="2"/>
  <c r="T36" i="2"/>
  <c r="J36" i="2"/>
  <c r="P2" i="5"/>
  <c r="J10" i="2"/>
  <c r="T10" i="2"/>
  <c r="P10" i="2"/>
  <c r="O10" i="2"/>
  <c r="O13" i="2"/>
  <c r="J13" i="2"/>
  <c r="P13" i="2"/>
  <c r="T13" i="2"/>
  <c r="O3" i="5"/>
  <c r="O2" i="5"/>
  <c r="P16" i="2"/>
  <c r="J16" i="2"/>
  <c r="O16" i="2"/>
  <c r="T16" i="2"/>
  <c r="F31" i="5"/>
  <c r="D31" i="5"/>
  <c r="C31" i="5"/>
  <c r="L28" i="5"/>
  <c r="K28" i="5"/>
  <c r="L31" i="5"/>
  <c r="K31" i="5"/>
  <c r="D28" i="5"/>
  <c r="C28" i="5"/>
  <c r="F28" i="5"/>
  <c r="L38" i="5"/>
  <c r="K38" i="5"/>
  <c r="J38" i="5"/>
  <c r="I38" i="5"/>
  <c r="L35" i="5"/>
  <c r="K35" i="5"/>
  <c r="J35" i="5"/>
  <c r="I35" i="5"/>
  <c r="L32" i="5"/>
  <c r="K32" i="5"/>
  <c r="J32" i="5"/>
  <c r="I32" i="5"/>
  <c r="F38" i="5"/>
  <c r="F35" i="5"/>
  <c r="F32" i="5"/>
  <c r="D38" i="5"/>
  <c r="C38" i="5"/>
  <c r="D35" i="5"/>
  <c r="C35" i="5"/>
  <c r="D32" i="5"/>
  <c r="C32" i="5"/>
  <c r="L29" i="5"/>
  <c r="K29" i="5"/>
  <c r="J29" i="5"/>
  <c r="I29" i="5"/>
  <c r="F29" i="5"/>
  <c r="D29" i="5"/>
  <c r="C29" i="5"/>
  <c r="S10" i="5" l="1"/>
  <c r="S12" i="5" s="1"/>
  <c r="L33" i="5"/>
  <c r="C33" i="5"/>
  <c r="J33" i="5"/>
  <c r="K33" i="5"/>
  <c r="I33" i="5"/>
  <c r="G31" i="5"/>
  <c r="F33" i="5"/>
  <c r="O31" i="5"/>
  <c r="H31" i="5"/>
  <c r="N31" i="5"/>
  <c r="E31" i="5"/>
  <c r="D33" i="5"/>
  <c r="M31" i="5"/>
  <c r="C30" i="5"/>
  <c r="I30" i="5"/>
  <c r="J30" i="5"/>
  <c r="L30" i="5"/>
  <c r="K30" i="5"/>
  <c r="D30" i="5"/>
  <c r="F30" i="5"/>
  <c r="E32" i="5"/>
  <c r="E35" i="5"/>
  <c r="O32" i="5"/>
  <c r="E38" i="5"/>
  <c r="O38" i="5"/>
  <c r="M38" i="5"/>
  <c r="O35" i="5"/>
  <c r="M35" i="5"/>
  <c r="M32" i="5"/>
  <c r="N38" i="5"/>
  <c r="H38" i="5"/>
  <c r="N35" i="5"/>
  <c r="H35" i="5"/>
  <c r="N32" i="5"/>
  <c r="H32" i="5"/>
  <c r="G38" i="5"/>
  <c r="G35" i="5"/>
  <c r="G32" i="5"/>
  <c r="E29" i="5"/>
  <c r="O29" i="5"/>
  <c r="M29" i="5"/>
  <c r="N29" i="5"/>
  <c r="H29" i="5"/>
  <c r="G29" i="5"/>
  <c r="O33" i="5" l="1"/>
  <c r="H33" i="5"/>
  <c r="N33" i="5"/>
  <c r="M33" i="5"/>
  <c r="E33" i="5"/>
  <c r="G33" i="5"/>
  <c r="G28" i="5"/>
  <c r="G30" i="5" s="1"/>
  <c r="E28" i="5"/>
  <c r="E30" i="5" s="1"/>
  <c r="O28" i="5"/>
  <c r="O30" i="5" s="1"/>
  <c r="M28" i="5"/>
  <c r="M30" i="5" s="1"/>
  <c r="H28" i="5"/>
  <c r="H30" i="5" s="1"/>
  <c r="N28" i="5"/>
  <c r="N30" i="5" s="1"/>
  <c r="M11" i="5" a="1"/>
  <c r="M11" i="5" s="1"/>
  <c r="J11" i="5" a="1"/>
  <c r="J11" i="5" s="1"/>
  <c r="N11" i="5" a="1"/>
  <c r="N11" i="5" s="1"/>
  <c r="L11" i="5" a="1"/>
  <c r="L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O11" i="5" l="1"/>
  <c r="H11" i="5"/>
  <c r="Q11" i="5"/>
  <c r="P11" i="5"/>
  <c r="I11" i="5"/>
  <c r="C10" i="5"/>
  <c r="D10" i="5"/>
  <c r="D12" i="5" s="1"/>
  <c r="G10" i="5"/>
  <c r="G12" i="5" s="1"/>
  <c r="K10" i="5"/>
  <c r="K12" i="5" s="1"/>
  <c r="L10" i="5"/>
  <c r="L12" i="5" s="1"/>
  <c r="M10" i="5"/>
  <c r="M12" i="5" s="1"/>
  <c r="N10" i="5"/>
  <c r="N12" i="5" s="1"/>
  <c r="F10" i="5" l="1"/>
  <c r="F12" i="5" s="1"/>
  <c r="J10" i="5"/>
  <c r="J12" i="5" s="1"/>
  <c r="P10" i="5"/>
  <c r="P12" i="5" s="1"/>
  <c r="C12" i="5"/>
  <c r="Q10" i="5"/>
  <c r="Q12" i="5" s="1"/>
  <c r="H10" i="5"/>
  <c r="H12" i="5" s="1"/>
  <c r="O10" i="5"/>
  <c r="O12" i="5" s="1"/>
  <c r="E10" i="5"/>
  <c r="E12" i="5" s="1"/>
  <c r="I10" i="5"/>
  <c r="I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tc={FA7933E4-2558-481F-90B8-9D9EE91F377C}</author>
    <author>tc={7E1F01A7-D639-4BFC-A632-D48C4D5FF66B}</author>
    <author>tc={ACB14598-4FA4-472F-A5CB-EA9DCB1B2611}</author>
  </authors>
  <commentList>
    <comment ref="K1" authorId="0" shapeId="0" xr:uid="{FA7933E4-2558-481F-90B8-9D9EE91F377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  <comment ref="L1" authorId="1" shapeId="0" xr:uid="{7E1F01A7-D639-4BFC-A632-D48C4D5FF66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  <comment ref="S1" authorId="2" shapeId="0" xr:uid="{ACB14598-4FA4-472F-A5CB-EA9DCB1B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3% of Total Export Turnover (AUD)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tc={D5FB93DF-5646-4078-9A1D-04C1855F4D48}</author>
    <author>tc={2BC7A072-370B-456C-BCC0-CA044511F23A}</author>
    <author>tc={787E9094-4756-409E-85ED-2E95E8F3592B}</author>
    <author>tc={118F41FF-CED0-4B38-A266-22C592806CDC}</author>
  </authors>
  <commentList>
    <comment ref="K9" authorId="0" shapeId="0" xr:uid="{D5FB93DF-5646-4078-9A1D-04C1855F4D4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  <comment ref="L9" authorId="1" shapeId="0" xr:uid="{2BC7A072-370B-456C-BCC0-CA044511F23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  <comment ref="I27" authorId="2" shapeId="0" xr:uid="{787E9094-4756-409E-85ED-2E95E8F3592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  <comment ref="J27" authorId="3" shapeId="0" xr:uid="{118F41FF-CED0-4B38-A266-22C592806CD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Betcha activity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2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  <connection id="3" xr16:uid="{F68E099B-F026-402F-A22B-AA9F415928E8}" keepAlive="1" name="Query - raceday_23_24" description="Connection to the 'raceday_23_24' query in the workbook." type="5" refreshedVersion="8" background="1" saveData="1">
    <dbPr connection="Provider=Microsoft.Mashup.OleDb.1;Data Source=$Workbook$;Location=raceday_23_24;Extended Properties=&quot;&quot;" command="SELECT * FROM [raceday_23_24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<sst xmlns="http://schemas.openxmlformats.org/spreadsheetml/2006/main" count="2803" uniqueCount="231">
  <si>
    <t>NOTES</t>
  </si>
  <si>
    <t>Last Updated:</t>
  </si>
  <si>
    <t>(generally updated every Tuesday)</t>
  </si>
  <si>
    <t>General:</t>
  </si>
  <si>
    <t xml:space="preserve">Data is for the current 2024/25 Racing Season </t>
  </si>
  <si>
    <t>All data is coming directly from the HRNZ Database (with the exception of Betcha Integrated data)</t>
  </si>
  <si>
    <t>Wagering data is sourced from the TAB</t>
  </si>
  <si>
    <t>This season has more racedays then the previous couple seasons with all Entain's changes</t>
  </si>
  <si>
    <t>HRNZ Funded Stakes*</t>
  </si>
  <si>
    <t>HRNZ's contribution to the stakes, including NZSS contributions (excludes all other non-HRNZ funding)</t>
  </si>
  <si>
    <t>Export Turnover (AUD)</t>
  </si>
  <si>
    <t>This is usually available within 2 weeks of any raceday being completed</t>
  </si>
  <si>
    <t>Funding</t>
  </si>
  <si>
    <t>This has been built in at a Raceday level and is comprised of: total_race_funding, venue_funding, and other_funding (group race funding is included in the total_race_funding)</t>
  </si>
  <si>
    <t xml:space="preserve">Where Funding is $0, this is because the latest funding has not been entered into the database (this will cause the GBR/Funding% to be 0% too) </t>
  </si>
  <si>
    <t>Note: as of 25/1/2024, Raceday Funding (column O)now includes all 'allowances' too - the way funding was dealt with in the database has changed since this spreadsheet was first built, so that change has now been reflected in the code!</t>
  </si>
  <si>
    <t>Late Start %</t>
  </si>
  <si>
    <t>A race is considered a 'late start' where it has started more than 60 seconds after the scheduled start time</t>
  </si>
  <si>
    <t>Last Year Info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</si>
  <si>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corresponding Prior Year (PY) raceday ID to match to the current year's raceday</t>
    </r>
  </si>
  <si>
    <t>Turnover/Funding %</t>
  </si>
  <si>
    <t>This column was added 23/2/2023 so that HRNZ can track Turnover as a percentage of Funding moving forward</t>
  </si>
  <si>
    <t>Cumulative Totals (to date)</t>
  </si>
  <si>
    <t>These can be found on the 'NZ Grouping Breakdown' tab. This will be as at the date given in cell F1 on this tab (NOTES tab)</t>
  </si>
  <si>
    <t>Quarterly Comparisons:</t>
  </si>
  <si>
    <t>Quarterly comparisons between current &amp; prior season can be found at the base of the NZ Grouping tab</t>
  </si>
  <si>
    <t>*HRNZ Funded Stakes</t>
  </si>
  <si>
    <t>Updated January 2025 due a coding change in the database. Prior versions were reporting Total Stakes, not HRNZ-funded stakes</t>
  </si>
  <si>
    <t>There is still an issue with some external slot funding not being excluded, ie Show Day. This is being investigated currently.</t>
  </si>
  <si>
    <t>Export Earned (AUD)</t>
  </si>
  <si>
    <t>This is simply 3% of the Export Turnover figure (all in AUD)</t>
  </si>
  <si>
    <t xml:space="preserve">GBR + Export Earned </t>
  </si>
  <si>
    <t xml:space="preserve">Export Earned + GBR </t>
  </si>
  <si>
    <t>Raceday Breakdown Tab:</t>
  </si>
  <si>
    <t>Betcha Inc. Turnover</t>
  </si>
  <si>
    <t>Betcha inclusive Turnover (note: this data feeds off a manually updated spreadsheet until Entain reporting is automated)</t>
  </si>
  <si>
    <t>Bethca Inc. GBR</t>
  </si>
  <si>
    <t>Betcha inclusive GBR (note: this data feeds off a manually updated spreadsheet until Entain reporting is automated)</t>
  </si>
  <si>
    <t>Original Turnover &amp; GBR Columns have been left in this tab (due to the way its setup) and the Betcha Inclusive Turnover &amp; GBR columns have been added to the far right</t>
  </si>
  <si>
    <t>Club &amp; NZ Grouping Breakdown Tabs:</t>
  </si>
  <si>
    <t>Turnover &amp; GBR</t>
  </si>
  <si>
    <t>These figures include Betcha data, as well as the normal TAB data</t>
  </si>
  <si>
    <t>This gives us the most uptodate outlook on current season wagering figures and allows us to compare accurately to the prior year</t>
  </si>
  <si>
    <t>Note:</t>
  </si>
  <si>
    <t>Betcha integrated wagering data currently uptodate as of the Manawatu meeting 6/4/2025</t>
  </si>
  <si>
    <t>Raceday Date</t>
  </si>
  <si>
    <t>Day</t>
  </si>
  <si>
    <t>Club</t>
  </si>
  <si>
    <t>NZ Grouping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</si>
  <si>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</si>
  <si>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</si>
  <si>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</si>
  <si>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</si>
  <si>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</si>
  <si>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</si>
  <si>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</si>
  <si>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Turnover</t>
  </si>
  <si>
    <t>GBR</t>
  </si>
  <si>
    <t>Export TO (AUD)</t>
  </si>
  <si>
    <t>GBR/TO%</t>
  </si>
  <si>
    <t>GBR/Funding%</t>
  </si>
  <si>
    <t>Turnover/Funding%</t>
  </si>
  <si>
    <t>Last Year Turnover</t>
  </si>
  <si>
    <t>Last Year GBR</t>
  </si>
  <si>
    <t>Last Year GBR/TO%</t>
  </si>
  <si>
    <t>Turnover % Change to PY</t>
  </si>
  <si>
    <t>Month</t>
  </si>
  <si>
    <t>Quarter</t>
  </si>
  <si>
    <t>Helper</t>
  </si>
  <si>
    <t>Export Earned</t>
  </si>
  <si>
    <t>Betcha Inc. TO</t>
  </si>
  <si>
    <t>Betcha Inc. GBR</t>
  </si>
  <si>
    <t>GBR + Export</t>
  </si>
  <si>
    <t>Fav. Winners</t>
  </si>
  <si>
    <t>Thursday</t>
  </si>
  <si>
    <t>Winton Harness Racing Club Inc</t>
  </si>
  <si>
    <t>C South</t>
  </si>
  <si>
    <t>Friday</t>
  </si>
  <si>
    <t>Auckland Trotting Club Inc</t>
  </si>
  <si>
    <t>A North</t>
  </si>
  <si>
    <t>NZ Metropolitan Trotting Club Inc</t>
  </si>
  <si>
    <t>B Central</t>
  </si>
  <si>
    <t>Sunday</t>
  </si>
  <si>
    <t>Tuesday</t>
  </si>
  <si>
    <t>Waikato Bay of Plenty Harness Inc</t>
  </si>
  <si>
    <t>Invercargill Harness Racing Club Inc</t>
  </si>
  <si>
    <t>Ashburton Trotting Club Inc</t>
  </si>
  <si>
    <t>Kurow Harness Racing Club Inc</t>
  </si>
  <si>
    <t>Gore Harness Racing Club Inc</t>
  </si>
  <si>
    <t>Rangiora Harness Racing Club Inc</t>
  </si>
  <si>
    <t>Wyndham Harness Racing Club Inc</t>
  </si>
  <si>
    <t>Methven Trotting Club Inc</t>
  </si>
  <si>
    <t>Oamaru Harness Racing Club Inc</t>
  </si>
  <si>
    <t>Saturday</t>
  </si>
  <si>
    <t>Banks Peninsula Trotting Club Inc</t>
  </si>
  <si>
    <t>Timaru Harness Racing Club Inc</t>
  </si>
  <si>
    <t>Wednesday</t>
  </si>
  <si>
    <t>Northern Southland Trotting Club Inc</t>
  </si>
  <si>
    <t>Tuapeka Harness Racing Club Inc</t>
  </si>
  <si>
    <t>Monday</t>
  </si>
  <si>
    <t>Kaikoura Trotting Club Inc</t>
  </si>
  <si>
    <t>Manawatu Harness Racing Club Inc</t>
  </si>
  <si>
    <t>Akaroa Trotting Club Inc</t>
  </si>
  <si>
    <t>Geraldine Trotting Club Inc</t>
  </si>
  <si>
    <t>Forbury Park Trotting Club Inc</t>
  </si>
  <si>
    <t>Westport Trotting Club Inc</t>
  </si>
  <si>
    <t>Reefton Trotting Club Inc</t>
  </si>
  <si>
    <t>Central Otago Trotting Club Inc</t>
  </si>
  <si>
    <t>Wairarapa Harness Racing Club Inc</t>
  </si>
  <si>
    <t>Roxburgh Trotting Club Inc</t>
  </si>
  <si>
    <t>Kapiti Coast Harness Racing Club Inc</t>
  </si>
  <si>
    <t>Nelson Harness Racing Club Inc</t>
  </si>
  <si>
    <t>Marlborough Harness Racing Club Inc</t>
  </si>
  <si>
    <t>Riverton Trotting Club Inc</t>
  </si>
  <si>
    <t>Hawera Harness Racing Club Inc</t>
  </si>
  <si>
    <t>Waikouaiti Trotting Club Inc</t>
  </si>
  <si>
    <t>Amberley Trotting Club Inc</t>
  </si>
  <si>
    <t>Hororata Trotting Club Inc</t>
  </si>
  <si>
    <t>Wairio Trotting Club Inc</t>
  </si>
  <si>
    <t>Waimate Trotting Club Inc</t>
  </si>
  <si>
    <t>Cheviot Harness Racing Club Inc</t>
  </si>
  <si>
    <t>Sub-Total</t>
  </si>
  <si>
    <t>Racing Season</t>
  </si>
  <si>
    <t>Club Name</t>
  </si>
  <si>
    <t>Racedays</t>
  </si>
  <si>
    <t>Turnover Per Race</t>
  </si>
  <si>
    <t>GBR + Export Earned</t>
  </si>
  <si>
    <t>2024/2025</t>
  </si>
  <si>
    <t>Avg. FS</t>
  </si>
  <si>
    <t>Avg. Race Stake</t>
  </si>
  <si>
    <t>Nationwide Cumulative Totals:</t>
  </si>
  <si>
    <t>% Change To Prior Year:</t>
  </si>
  <si>
    <t>Notes:</t>
  </si>
  <si>
    <t>Cumulative totals are up to the same date for each respective season, however latest data for current season may not be available at the time of update</t>
  </si>
  <si>
    <t>For example, Funding data and Export Turnover generally aren't available until a couple of weeks after a raceday has been completed</t>
  </si>
  <si>
    <t>Any point-in-time comparisons should be analysed with care</t>
  </si>
  <si>
    <t xml:space="preserve">In the '% Change to Prior Year' row, figures that are comparing PERCENTAGES year-on-year are not actually 'percentage changes' but the 'percentage point change', ie just the difference in absolute percentage </t>
  </si>
  <si>
    <t>National Quarterly Breakdown:</t>
  </si>
  <si>
    <t>Season</t>
  </si>
  <si>
    <t>GBR / Funding %</t>
  </si>
  <si>
    <t>Turnover / Funding %</t>
  </si>
  <si>
    <t>Current</t>
  </si>
  <si>
    <t>Q1</t>
  </si>
  <si>
    <t>Prior</t>
  </si>
  <si>
    <t>% Change</t>
  </si>
  <si>
    <t>Q2</t>
  </si>
  <si>
    <t>Q3</t>
  </si>
  <si>
    <t>Q4</t>
  </si>
  <si>
    <t>Q1 is August - October</t>
  </si>
  <si>
    <t>Q2 is November - January</t>
  </si>
  <si>
    <t>Q3 is February - April</t>
  </si>
  <si>
    <t>Q4 is May - July</t>
  </si>
  <si>
    <t>HELPER</t>
  </si>
  <si>
    <t>DATE</t>
  </si>
  <si>
    <t>MEETING</t>
  </si>
  <si>
    <t>ACTIVES</t>
  </si>
  <si>
    <t>TURNOVER</t>
  </si>
  <si>
    <t>GROSS WIN</t>
  </si>
  <si>
    <t>EXPORT (AUD)</t>
  </si>
  <si>
    <t>Winton</t>
  </si>
  <si>
    <t>Alexandra Park</t>
  </si>
  <si>
    <t>Addington</t>
  </si>
  <si>
    <t>Cambridge</t>
  </si>
  <si>
    <t>Ascot Park</t>
  </si>
  <si>
    <t>Ashburton</t>
  </si>
  <si>
    <t>Oamaru</t>
  </si>
  <si>
    <t>Gore</t>
  </si>
  <si>
    <t>Rangiora</t>
  </si>
  <si>
    <t>Wyndham</t>
  </si>
  <si>
    <t>Mt Harding</t>
  </si>
  <si>
    <t>Motukarara</t>
  </si>
  <si>
    <t>Phar Lap Rcwy</t>
  </si>
  <si>
    <t>Kaikoura</t>
  </si>
  <si>
    <t>Manawatu</t>
  </si>
  <si>
    <t>Geraldine</t>
  </si>
  <si>
    <t>Wingatui</t>
  </si>
  <si>
    <t>Westport</t>
  </si>
  <si>
    <t>Reefton</t>
  </si>
  <si>
    <t>Tauherenikau</t>
  </si>
  <si>
    <t>Omakau</t>
  </si>
  <si>
    <t>Roxburgh</t>
  </si>
  <si>
    <t>Otaki</t>
  </si>
  <si>
    <t>Cromwell</t>
  </si>
  <si>
    <t>Richmond</t>
  </si>
  <si>
    <t>Blenheim</t>
  </si>
  <si>
    <t>Riverton</t>
  </si>
  <si>
    <t>Hawera</t>
  </si>
  <si>
    <t>Rangiora (Grass)</t>
  </si>
  <si>
    <t>Reefton Racecourse</t>
  </si>
  <si>
    <t>Auckland</t>
  </si>
  <si>
    <t>Young Quinn</t>
  </si>
  <si>
    <t xml:space="preserve">Rangiora                      </t>
  </si>
  <si>
    <t xml:space="preserve">Wyndham                       </t>
  </si>
  <si>
    <t xml:space="preserve">Manawatu Raceway              </t>
  </si>
  <si>
    <t xml:space="preserve">Phar Lap Raceway              </t>
  </si>
  <si>
    <t xml:space="preserve">Ascot Park                    </t>
  </si>
  <si>
    <t xml:space="preserve">Cambridge                     </t>
  </si>
  <si>
    <t xml:space="preserve">Addington                     </t>
  </si>
  <si>
    <t>Column1</t>
  </si>
  <si>
    <t>mt_meeting_id</t>
  </si>
  <si>
    <t>rd_date</t>
  </si>
  <si>
    <t>racing_season</t>
  </si>
  <si>
    <t>day_of_the_week</t>
  </si>
  <si>
    <t>club_name</t>
  </si>
  <si>
    <t>grp_name</t>
  </si>
  <si>
    <t>num_races</t>
  </si>
  <si>
    <t>num_starters</t>
  </si>
  <si>
    <t>ave_field_size</t>
  </si>
  <si>
    <t>fav_win</t>
  </si>
  <si>
    <t>total_stakes</t>
  </si>
  <si>
    <t>ave_hrnz_stakes_per_race</t>
  </si>
  <si>
    <t>GBR_stake_perc</t>
  </si>
  <si>
    <t>late_starts</t>
  </si>
  <si>
    <t>turnover</t>
  </si>
  <si>
    <t>raceday_funding</t>
  </si>
  <si>
    <t>export_TO</t>
  </si>
  <si>
    <t>GBR_TO_perc</t>
  </si>
  <si>
    <t>GBR_percent_funding</t>
  </si>
  <si>
    <t>Turnover_percent_funding</t>
  </si>
  <si>
    <t>lastyr_TO</t>
  </si>
  <si>
    <t>lastyr_GBR</t>
  </si>
  <si>
    <t>lastyr_GBR_TO_perc</t>
  </si>
  <si>
    <t>2023/2024</t>
  </si>
  <si>
    <t>AFS</t>
  </si>
  <si>
    <t>num_fav_winners</t>
  </si>
  <si>
    <t>hrnz_funded_stakes</t>
  </si>
  <si>
    <t>total_funding</t>
  </si>
  <si>
    <t>num_late_starts</t>
  </si>
  <si>
    <t xml:space="preserve">Alexandra Park                </t>
  </si>
  <si>
    <t xml:space="preserve">Winton                        </t>
  </si>
  <si>
    <t xml:space="preserve">Ashburton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</si>
</sst>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&quot;$&quot;#,##0"/>
    <numFmt numFmtId="166" formatCode="0.0"/>
    <numFmt numFmtId="167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0" fontId="11" fillId="0" borderId="0"/>
  </cellStyleXfs>
  <cellXfs count="14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1" applyNumberFormat="1" applyFont="1"/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4" fontId="0" fillId="0" borderId="0" xfId="0" applyNumberFormat="1"/>
    <xf numFmtId="164" fontId="0" fillId="0" borderId="7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6" fontId="0" fillId="4" borderId="7" xfId="0" applyNumberForma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6" fillId="0" borderId="0" xfId="0" applyFont="1"/>
    <xf numFmtId="165" fontId="0" fillId="5" borderId="0" xfId="0" applyNumberFormat="1" applyFill="1"/>
    <xf numFmtId="0" fontId="8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165" fontId="9" fillId="0" borderId="0" xfId="0" applyNumberFormat="1" applyFont="1"/>
    <xf numFmtId="165" fontId="0" fillId="5" borderId="0" xfId="0" applyNumberFormat="1" applyFill="1" applyAlignment="1">
      <alignment horizontal="left"/>
    </xf>
    <xf numFmtId="165" fontId="9" fillId="0" borderId="0" xfId="2" applyNumberFormat="1" applyFont="1"/>
    <xf numFmtId="2" fontId="0" fillId="0" borderId="0" xfId="0" applyNumberFormat="1" applyAlignment="1">
      <alignment horizontal="center"/>
    </xf>
    <xf numFmtId="167" fontId="2" fillId="0" borderId="0" xfId="0" applyNumberFormat="1" applyFont="1" applyAlignment="1">
      <alignment horizontal="center"/>
    </xf>
    <xf numFmtId="165" fontId="9" fillId="0" borderId="0" xfId="4" applyNumberFormat="1" applyFont="1"/>
    <xf numFmtId="0" fontId="2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</cellXfs>
  <cellStyles count="6">
    <cellStyle name="Comma" xfId="2" builtinId="3"/>
    <cellStyle name="Comma 2" xfId="4" xr:uid="{6FE7C8E6-EE34-4644-8645-2A19678BE55C}"/>
    <cellStyle name="Normal" xfId="0" builtinId="0"/>
    <cellStyle name="Normal 2" xfId="3" xr:uid="{5000D39D-8F92-4148-8333-8A33351F31AD}"/>
    <cellStyle name="Normal 3" xfId="5" xr:uid="{CFBEC497-FC93-48C1-9FEF-6D8F909683BD}"/>
    <cellStyle name="Percent" xfId="1" builtinId="5"/>
  </cellStyles>
  <dxfs count="10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m/yyyy"/>
    </dxf>
    <dxf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6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6" formatCode="0.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575044</xdr:colOff>
      <xdr:row>1</xdr:row>
      <xdr:rowOff>9525</xdr:rowOff>
    </xdr:from>
    <xdr:to>
      <xdr:col>17</xdr:col>
      <xdr:colOff>323849</xdr:colOff>
      <xdr:row>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DD7DD-804A-4C69-ECD6-FDF0D41C8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4094" y="371475"/>
          <a:ext cx="4025530" cy="1238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llie Partridge" id="{230D2E87-11BD-4548-A3AA-2538F9312EAD}" userId="S::ollie@hrnz.co.nz::907584ff-b2f0-4364-91da-07f0191cd37a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8E3A9FDF-D3CD-4EFB-8708-651D1B20DB09}" autoFormatId="16" applyNumberFormats="0" applyBorderFormats="0" applyFontFormats="0" applyPatternFormats="0" applyAlignmentFormats="0" applyWidthHeightFormats="0">
  <queryTableRefresh nextId="38" unboundColumnsRight="9">
    <queryTableFields count="31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  <queryTableField id="26" dataBound="0" tableColumnId="24"/>
      <queryTableField id="27" dataBound="0" tableColumnId="25"/>
      <queryTableField id="30" dataBound="0" tableColumnId="26"/>
      <queryTableField id="35" dataBound="0" tableColumnId="29"/>
      <queryTableField id="31" dataBound="0" tableColumnId="27"/>
      <queryTableField id="32" dataBound="0" tableColumnId="28"/>
      <queryTableField id="36" dataBound="0" tableColumnId="30"/>
      <queryTableField id="37" dataBound="0" tableColumnId="3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BFB82482-16B9-4898-BD49-CF271DD6EB59}" autoFormatId="16" applyNumberFormats="0" applyBorderFormats="0" applyFontFormats="0" applyPatternFormats="0" applyAlignmentFormats="0" applyWidthHeightFormats="0">
  <queryTableRefresh nextId="28">
    <queryTableFields count="27">
      <queryTableField id="1" name="Column1" tableColumnId="1"/>
      <queryTableField id="2" name="mt_meeting_id" tableColumnId="2"/>
      <queryTableField id="3" name="rd_date" tableColumnId="3"/>
      <queryTableField id="4" name="racing_season" tableColumnId="4"/>
      <queryTableField id="5" name="day_of_the_week" tableColumnId="5"/>
      <queryTableField id="6" name="club_name" tableColumnId="6"/>
      <queryTableField id="7" name="grp_name" tableColumnId="7"/>
      <queryTableField id="8" name="num_races" tableColumnId="8"/>
      <queryTableField id="9" name="num_starters" tableColumnId="9"/>
      <queryTableField id="10" name="ave_field_size" tableColumnId="10"/>
      <queryTableField id="11" name="fav_win" tableColumnId="11"/>
      <queryTableField id="12" name="total_stakes" tableColumnId="12"/>
      <queryTableField id="13" name="ave_hrnz_stakes_per_race" tableColumnId="13"/>
      <queryTableField id="14" name="GBR_stake_perc" tableColumnId="14"/>
      <queryTableField id="15" name="late_starts" tableColumnId="15"/>
      <queryTableField id="16" name="turnover" tableColumnId="16"/>
      <queryTableField id="17" name="GBR" tableColumnId="17"/>
      <queryTableField id="18" name="raceday_funding" tableColumnId="18"/>
      <queryTableField id="19" name="export_TO" tableColumnId="19"/>
      <queryTableField id="20" name="GBR_TO_perc" tableColumnId="20"/>
      <queryTableField id="21" name="GBR_percent_funding" tableColumnId="21"/>
      <queryTableField id="22" name="Turnover_percent_funding" tableColumnId="22"/>
      <queryTableField id="23" name="lastyr_TO" tableColumnId="23"/>
      <queryTableField id="24" name="lastyr_GBR" tableColumnId="24"/>
      <queryTableField id="25" name="lastyr_GBR_TO_perc" tableColumnId="25"/>
      <queryTableField id="26" name="Month" tableColumnId="26"/>
      <queryTableField id="27" name="Quarter" tableColumnId="2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794299C-9762-456F-A7CA-3D0EBBF51B70}" autoFormatId="16" applyNumberFormats="0" applyBorderFormats="0" applyFontFormats="0" applyPatternFormats="0" applyAlignmentFormats="0" applyWidthHeightFormats="0">
  <queryTableRefresh nextId="17" unboundColumnsRight="2">
    <queryTableFields count="14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  <queryTableField id="15" dataBound="0" tableColumnId="1"/>
      <queryTableField id="16" dataBound="0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AE257" tableType="queryTable" totalsRowShown="0" headerRowDxfId="108" dataDxfId="107">
  <autoFilter ref="A1:AE257" xr:uid="{8ECB3143-AA95-4BFF-A156-EF7EBE26DCDE}"/>
  <sortState xmlns:xlrd2="http://schemas.microsoft.com/office/spreadsheetml/2017/richdata2" ref="A2:AE257">
    <sortCondition ref="A1:A257"/>
  </sortState>
  <tableColumns count="31">
    <tableColumn id="1" xr3:uid="{5F1515AB-D4C6-450E-90C6-8D42083D358F}" uniqueName="1" name="Raceday Date" queryTableFieldId="1" dataDxfId="106" totalsRowDxfId="105"/>
    <tableColumn id="3" xr3:uid="{4D22E4DB-A2CB-484E-98AB-D3196AA8DCBA}" uniqueName="3" name="Day" queryTableFieldId="3" dataDxfId="104" totalsRowDxfId="103"/>
    <tableColumn id="4" xr3:uid="{079CAB0E-B157-4580-890F-A2E8A321D4DA}" uniqueName="4" name="Club" queryTableFieldId="4" dataDxfId="102" totalsRowDxfId="101"/>
    <tableColumn id="5" xr3:uid="{B6974082-46C7-4DB4-9C07-8ACA1D9582CC}" uniqueName="5" name="NZ Grouping" queryTableFieldId="5" dataDxfId="100" totalsRowDxfId="99"/>
    <tableColumn id="6" xr3:uid="{F501D4AB-49F6-42D0-A6C3-C366D3CD9C9F}" uniqueName="6" name="Races" queryTableFieldId="6" dataDxfId="98" totalsRowDxfId="97"/>
    <tableColumn id="7" xr3:uid="{6472B750-CAFA-4659-954E-0D7CDFEDAF8D}" uniqueName="7" name="Starters" queryTableFieldId="7" dataDxfId="96" totalsRowDxfId="95"/>
    <tableColumn id="8" xr3:uid="{A6F068C6-B31A-48FB-9A7F-3EBC74560F00}" uniqueName="8" name="Ave. FS" queryTableFieldId="8" dataDxfId="94" totalsRowDxfId="93"/>
    <tableColumn id="9" xr3:uid="{735FC37F-C20A-4FF8-9D0B-6409E6E960D6}" uniqueName="9" name="Fav. Win %" queryTableFieldId="9" dataDxfId="92" totalsRowDxfId="91" dataCellStyle="Percent"/>
    <tableColumn id="10" xr3:uid="{BE932EB9-8F1A-4DC5-89BC-A34CE04F0B45}" uniqueName="10" name="HRNZ Funded Stakes" queryTableFieldId="10" dataDxfId="90" totalsRowDxfId="89"/>
    <tableColumn id="11" xr3:uid="{24F34BAF-F3E6-4280-9E85-DA9003991599}" uniqueName="11" name="Ave. Race Stake" queryTableFieldId="11" dataDxfId="88" totalsRowDxfId="87"/>
    <tableColumn id="12" xr3:uid="{4FF8BBC7-2C19-495B-93D5-55EF6A3CB032}" uniqueName="12" name="GBR/Stake%" queryTableFieldId="12" dataDxfId="86" totalsRowDxfId="85" dataCellStyle="Percent"/>
    <tableColumn id="13" xr3:uid="{87F3198B-2F6F-4F7D-9D8E-31A1C217F570}" uniqueName="13" name="Late Start %" queryTableFieldId="13" dataDxfId="84" totalsRowDxfId="83" dataCellStyle="Percent"/>
    <tableColumn id="14" xr3:uid="{C0E71842-6635-4508-9F04-54B6F1B1D614}" uniqueName="14" name="Turnover" queryTableFieldId="14" dataDxfId="82" totalsRowDxfId="81"/>
    <tableColumn id="15" xr3:uid="{67CBE4C1-72CF-4D04-AA51-749ABCF6DBBB}" uniqueName="15" name="GBR" queryTableFieldId="15" dataDxfId="80" totalsRowDxfId="79"/>
    <tableColumn id="16" xr3:uid="{C0F3665E-80A4-4CD0-AD3C-68AFEF1C07C8}" uniqueName="16" name="Funding" queryTableFieldId="16" dataDxfId="78" totalsRowDxfId="77"/>
    <tableColumn id="17" xr3:uid="{7E12EA9A-8485-4A14-AC19-9DDB6A1FC20D}" uniqueName="17" name="Export TO (AUD)" queryTableFieldId="17" dataDxfId="76" totalsRowDxfId="75"/>
    <tableColumn id="18" xr3:uid="{2BDB94B1-5401-4216-9472-367432BC6611}" uniqueName="18" name="GBR/TO%" queryTableFieldId="18" dataDxfId="74" totalsRowDxfId="73" dataCellStyle="Percent"/>
    <tableColumn id="19" xr3:uid="{5BEEB3EB-B922-4CCA-BD52-0736011E32F3}" uniqueName="19" name="GBR/Funding%" queryTableFieldId="19" dataDxfId="72" totalsRowDxfId="71" dataCellStyle="Percent"/>
    <tableColumn id="23" xr3:uid="{0E33540D-E2E1-47EA-AAA0-BA460E179A4C}" uniqueName="23" name="Turnover/Funding%" queryTableFieldId="24" dataDxfId="70" totalsRowDxfId="69" dataCellStyle="Percent"/>
    <tableColumn id="2" xr3:uid="{26910BD9-293C-4827-8EB5-00479587934B}" uniqueName="2" name="Last Year Turnover" queryTableFieldId="20" dataDxfId="68" totalsRowDxfId="67" dataCellStyle="Percent"/>
    <tableColumn id="20" xr3:uid="{29C94857-9797-44C0-9D19-5F8B497852F4}" uniqueName="20" name="Last Year GBR" queryTableFieldId="21" dataDxfId="66" totalsRowDxfId="65" dataCellStyle="Percent"/>
    <tableColumn id="21" xr3:uid="{5DED8152-DE09-400A-827D-564EF2FCBA86}" uniqueName="21" name="Last Year GBR/TO%" queryTableFieldId="22" dataDxfId="64" totalsRowDxfId="63" dataCellStyle="Percent"/>
    <tableColumn id="22" xr3:uid="{DEB2B479-B38A-4793-9AAC-A801C48A3C62}" uniqueName="22" name="Turnover % Change to PY" queryTableFieldId="23" dataDxfId="62">
      <calculatedColumnFormula>IF(raceday_22_23[[#This Row],[Last Year Turnover]]=0, "No Corresponding PY Meeting", (raceday_22_23[[#This Row],[Betcha Inc. TO]]-raceday_22_23[[#This Row],[Last Year Turnover]])/raceday_22_23[[#This Row],[Last Year Turnover]])</calculatedColumnFormula>
    </tableColumn>
    <tableColumn id="24" xr3:uid="{543D8F13-55CA-4ED3-9D41-9B6495857368}" uniqueName="24" name="Month" queryTableFieldId="26" dataDxfId="61">
      <calculatedColumnFormula>MONTH(raceday_22_23[[#This Row],[Raceday Date]])</calculatedColumnFormula>
    </tableColumn>
    <tableColumn id="25" xr3:uid="{3B739A5F-2720-4ABF-986A-06487C1C6EB2}" uniqueName="25" name="Quarter" queryTableFieldId="27" dataDxfId="60">
      <calculatedColumnFormula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calculatedColumnFormula>
    </tableColumn>
    <tableColumn id="26" xr3:uid="{A8FB6F84-5AA7-41CC-A31E-9C88230D0416}" uniqueName="26" name="Helper" queryTableFieldId="30" dataDxfId="59">
      <calculatedColumnFormula>raceday_22_23[[#This Row],[Raceday Date]]&amp;raceday_22_23[[#This Row],[Club]]</calculatedColumnFormula>
    </tableColumn>
    <tableColumn id="29" xr3:uid="{805036EB-2544-475C-9702-63B2A4156035}" uniqueName="29" name="Export Earned" queryTableFieldId="35" dataDxfId="58">
      <calculatedColumnFormula>0.03*raceday_22_23[[#This Row],[Export TO (AUD)]]</calculatedColumnFormula>
    </tableColumn>
    <tableColumn id="27" xr3:uid="{BA910FDC-7BB5-4E2A-94B6-0B3F10D4B4CC}" uniqueName="27" name="Betcha Inc. TO" queryTableFieldId="31" dataDxfId="57">
      <calculatedColumnFormula>_xlfn.XLOOKUP(raceday_22_23[[#This Row],[Helper]],'Betcha Integrated'!A:A,'Betcha Integrated'!F:F, 0)</calculatedColumnFormula>
    </tableColumn>
    <tableColumn id="28" xr3:uid="{716A5F2C-3B1A-4EDA-A348-AF2AB743C800}" uniqueName="28" name="Betcha Inc. GBR" queryTableFieldId="32" dataDxfId="56">
      <calculatedColumnFormula>_xlfn.XLOOKUP(raceday_22_23[[#This Row],[Helper]],'Betcha Integrated'!A:A,'Betcha Integrated'!G:G, 0)</calculatedColumnFormula>
    </tableColumn>
    <tableColumn id="30" xr3:uid="{AFE35E0A-0D68-42AF-8B11-A0EB7F958166}" uniqueName="30" name="GBR + Export" queryTableFieldId="36" dataDxfId="55">
      <calculatedColumnFormula>raceday_22_23[[#This Row],[Export Earned]]+raceday_22_23[[#This Row],[Betcha Inc. GBR]]</calculatedColumnFormula>
    </tableColumn>
    <tableColumn id="31" xr3:uid="{31E28324-0F35-41A4-BD26-9834ABE6144E}" uniqueName="31" name="Fav. Winners" queryTableFieldId="37" dataDxfId="54">
      <calculatedColumnFormula>ROUND(raceday_22_23[[#This Row],[Fav. Win %]]*raceday_22_23[[#This Row],[Races]],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T37" totalsRowShown="0" headerRowDxfId="53" dataDxfId="52">
  <autoFilter ref="A1:T37" xr:uid="{5FA43247-39D7-4B2A-AFC9-F68C37923AD2}"/>
  <sortState xmlns:xlrd2="http://schemas.microsoft.com/office/spreadsheetml/2017/richdata2" ref="A2:T37">
    <sortCondition ref="F1:F37"/>
  </sortState>
  <tableColumns count="20">
    <tableColumn id="16" xr3:uid="{84FA02A7-59C6-4C88-B547-678AE6036BBE}" name="Racing Season" dataDxfId="51"/>
    <tableColumn id="17" xr3:uid="{14D4F993-D007-4167-9D93-6CCCD6C99B67}" name="Club Name" dataDxfId="50"/>
    <tableColumn id="3" xr3:uid="{3E0B6DA2-1AE5-4FD4-925B-60B331F2F8EA}" name="Racedays" dataDxfId="49"/>
    <tableColumn id="18" xr3:uid="{40426622-692C-4EFC-B1A9-5CA2789AA835}" name="Races" dataDxfId="48"/>
    <tableColumn id="19" xr3:uid="{CA79EC68-0190-45F3-814E-B728589F53C1}" name="Starters" dataDxfId="47"/>
    <tableColumn id="20" xr3:uid="{C3462C5D-26B9-41C0-96EF-4267929F5E28}" name="Ave. FS" dataDxfId="46"/>
    <tableColumn id="21" xr3:uid="{DD4596B2-0A52-4ADB-8146-825AD8D65525}" name="Fav. Win %" dataDxfId="45"/>
    <tableColumn id="22" xr3:uid="{E882B0C9-AEA8-48CA-88FA-6A9B29C443EE}" name="HRNZ Funded Stakes" dataDxfId="44"/>
    <tableColumn id="23" xr3:uid="{19B196F6-92F6-4839-9AF4-CB7E270C3B70}" name="Ave. Race Stake" dataDxfId="43"/>
    <tableColumn id="24" xr3:uid="{6449B595-8CA5-4EE1-9AFA-826DB3503C58}" name="GBR/Stake%" dataDxfId="42"/>
    <tableColumn id="26" xr3:uid="{C0D6702E-606E-4489-95ED-A0C8A3413E36}" name="Turnover" dataDxfId="41"/>
    <tableColumn id="27" xr3:uid="{A16AEFC2-E30F-43BB-9909-4AB8EA92E16B}" name="GBR" dataDxfId="40"/>
    <tableColumn id="28" xr3:uid="{220F42A6-6454-4028-A5E3-18E3F7FD3571}" name="Funding" dataDxfId="39"/>
    <tableColumn id="29" xr3:uid="{8CF6C49B-14B6-437D-972D-4A9A96E1B412}" name="Export TO (AUD)" dataDxfId="38"/>
    <tableColumn id="30" xr3:uid="{85517A98-FA21-4C97-AA00-8BB10FFBC4D7}" name="GBR/TO%" dataDxfId="37"/>
    <tableColumn id="34" xr3:uid="{CD094789-0844-4E1A-AD7F-807292039065}" name="GBR/Funding%" dataDxfId="36"/>
    <tableColumn id="1" xr3:uid="{41B14C3D-115F-4977-AD46-20557DD4EE0C}" name="Turnover/Funding%" dataDxfId="35"/>
    <tableColumn id="2" xr3:uid="{FFE7CB62-0CEE-462C-A38E-12773090A482}" name="Turnover Per Race" dataDxfId="34">
      <calculatedColumnFormula>club_summary_data_22_23[[#This Row],[Turnover]]/club_summary_data_22_23[[#This Row],[Races]]</calculatedColumnFormula>
    </tableColumn>
    <tableColumn id="4" xr3:uid="{8AC8FF59-5DC6-4D97-8816-792DAE03D214}" name="Export Earned (AUD)" dataDxfId="33">
      <calculatedColumnFormula>0.03*club_summary_data_22_23[[#This Row],[Export TO (AUD)]]</calculatedColumnFormula>
    </tableColumn>
    <tableColumn id="8" xr3:uid="{E0ECF3F5-8CF9-4473-A82F-BF898411458C}" name="GBR + Export Earned" dataDxfId="32">
      <calculatedColumnFormula>club_summary_data_22_23[[#This Row],[GBR]]+club_summary_data_22_23[[#This Row],[Export Earned (AUD)]]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S4" totalsRowShown="0" headerRowDxfId="31" dataDxfId="30">
  <tableColumns count="19">
    <tableColumn id="1" xr3:uid="{8718D5F7-D725-4B51-B267-76F523470822}" name="Racing Season" dataDxfId="29"/>
    <tableColumn id="2" xr3:uid="{7029A6C6-E60D-4D9F-B672-8A860CB1740B}" name="NZ Grouping" dataDxfId="28"/>
    <tableColumn id="3" xr3:uid="{15510ACF-2CF3-4C13-BB1F-41CC7D335294}" name="Races" dataDxfId="27"/>
    <tableColumn id="4" xr3:uid="{EDC5D6B2-9FA4-4BFC-912F-FC9FC4A2A0F5}" name="Starters" dataDxfId="26"/>
    <tableColumn id="5" xr3:uid="{F8648A72-18A9-4F14-A462-67A4A3EC4763}" name="Avg. FS" dataDxfId="25"/>
    <tableColumn id="6" xr3:uid="{F81FD6FE-3524-4C71-9AC5-9F8989374B41}" name="Fav. Win %" dataDxfId="24">
      <calculatedColumnFormula>SUMIF('Raceday Breakdown'!D:D,nz_grouping_summary_data_22_23[[#This Row],[NZ Grouping]],'Raceday Breakdown'!AE:AE)/nz_grouping_summary_data_22_23[[#This Row],[Races]]</calculatedColumnFormula>
    </tableColumn>
    <tableColumn id="7" xr3:uid="{4812BBA7-D766-4EDA-AB9C-BD9D50E0100A}" name="HRNZ Funded Stakes" dataDxfId="23"/>
    <tableColumn id="8" xr3:uid="{A84D9353-EA09-4CC9-8B86-0A73E7DB1240}" name="Avg. Race Stake" dataDxfId="22"/>
    <tableColumn id="9" xr3:uid="{6C64D457-FA91-4C77-9875-87C48A0EA4DB}" name="GBR/Stake%" dataDxfId="21"/>
    <tableColumn id="10" xr3:uid="{DFC55964-49E9-47D9-83B1-86D3EB378275}" name="Late Start %" dataDxfId="20"/>
    <tableColumn id="11" xr3:uid="{18ED67E1-5EE2-4E0A-9141-0E84A94063D1}" name="Turnover" dataDxfId="19"/>
    <tableColumn id="12" xr3:uid="{A56FB405-DF41-4EDB-AF86-18A961C0892E}" name="GBR" dataDxfId="18"/>
    <tableColumn id="13" xr3:uid="{4FE2D30E-C7BB-453C-9BA1-B84B2E024505}" name="Funding" dataDxfId="17"/>
    <tableColumn id="14" xr3:uid="{811018E5-7709-472D-B960-BB8A3CCD0E5E}" name="Export TO (AUD)" dataDxfId="16"/>
    <tableColumn id="15" xr3:uid="{2E83DE80-75C7-4613-A6F8-FAE017EECD72}" name="GBR/TO%" dataDxfId="15"/>
    <tableColumn id="16" xr3:uid="{A28B3E6E-A10F-4C2D-853D-165487E6B110}" name="GBR/Funding%" dataDxfId="14"/>
    <tableColumn id="17" xr3:uid="{877123AB-DF10-46A4-9E3C-D2F490C0A5E8}" name="Turnover/Funding%" dataDxfId="13"/>
    <tableColumn id="18" xr3:uid="{5DA89341-D0C8-4C62-B0F3-A8F555B1E048}" name="Export Earned (AUD)" dataDxfId="12">
      <calculatedColumnFormula>0.03*nz_grouping_summary_data_22_23[[#This Row],[Export TO (AUD)]]</calculatedColumnFormula>
    </tableColumn>
    <tableColumn id="19" xr3:uid="{1CE9EAF4-EFF9-49A9-AD0C-5356AF44ACE1}" name="GBR + Export Earned" dataDxfId="11">
      <calculatedColumnFormula>nz_grouping_summary_data_22_23[[#This Row],[GBR]]+nz_grouping_summary_data_22_23[[#This Row],[Export Earned (AUD)]]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8EC598B-74A6-48C9-90B4-06EF3E3BBBD6}" name="raceday_23_24" displayName="raceday_23_24" ref="A1:AA243" tableType="queryTable" totalsRowShown="0">
  <autoFilter ref="A1:AA243" xr:uid="{E8EC598B-74A6-48C9-90B4-06EF3E3BBBD6}"/>
  <tableColumns count="27">
    <tableColumn id="1" xr3:uid="{930B4FEF-0665-46C7-AD2C-C62C83CFB490}" uniqueName="1" name="Column1" queryTableFieldId="1"/>
    <tableColumn id="2" xr3:uid="{34B96316-C724-4C88-8FF0-120CD608A790}" uniqueName="2" name="mt_meeting_id" queryTableFieldId="2"/>
    <tableColumn id="3" xr3:uid="{D77C84A1-D059-48EE-94CE-46722F4D8491}" uniqueName="3" name="rd_date" queryTableFieldId="3" dataDxfId="10"/>
    <tableColumn id="4" xr3:uid="{38E598C9-1EB4-49B6-A3BA-E375820B3A67}" uniqueName="4" name="racing_season" queryTableFieldId="4" dataDxfId="9"/>
    <tableColumn id="5" xr3:uid="{A6A7A92A-5F0B-4C67-A2D1-A4ACF9D780FD}" uniqueName="5" name="day_of_the_week" queryTableFieldId="5" dataDxfId="8"/>
    <tableColumn id="6" xr3:uid="{E0E8EC3A-7BD4-4D62-837D-1641F8036162}" uniqueName="6" name="club_name" queryTableFieldId="6" dataDxfId="7"/>
    <tableColumn id="7" xr3:uid="{ADA2F3F7-9D1D-4876-8D4A-FCA8E81C7164}" uniqueName="7" name="grp_name" queryTableFieldId="7" dataDxfId="6"/>
    <tableColumn id="8" xr3:uid="{89FAF17A-6434-4C4A-841A-FE5F181B3B6D}" uniqueName="8" name="num_races" queryTableFieldId="8"/>
    <tableColumn id="9" xr3:uid="{74D937EF-4E3F-4E79-9527-F7CB3A26B3DC}" uniqueName="9" name="num_starters" queryTableFieldId="9"/>
    <tableColumn id="10" xr3:uid="{4E708F24-EF7F-4FDD-A237-06A576C96E12}" uniqueName="10" name="ave_field_size" queryTableFieldId="10"/>
    <tableColumn id="11" xr3:uid="{514DB31A-2880-4A1C-984C-A3966154B37F}" uniqueName="11" name="fav_win" queryTableFieldId="11"/>
    <tableColumn id="12" xr3:uid="{63B86C5A-D09F-4799-9B7E-9E3429187CA7}" uniqueName="12" name="total_stakes" queryTableFieldId="12"/>
    <tableColumn id="13" xr3:uid="{40A3E2A8-804F-4125-90C4-C49F3980573D}" uniqueName="13" name="ave_hrnz_stakes_per_race" queryTableFieldId="13"/>
    <tableColumn id="14" xr3:uid="{2E0CEBC8-029E-4820-A290-B706F74E90E5}" uniqueName="14" name="GBR_stake_perc" queryTableFieldId="14"/>
    <tableColumn id="15" xr3:uid="{37163D7F-C0D3-4D25-A1BE-D516AAB14EF1}" uniqueName="15" name="late_starts" queryTableFieldId="15"/>
    <tableColumn id="16" xr3:uid="{9B2E4045-B87E-460D-B55C-A707F966E482}" uniqueName="16" name="turnover" queryTableFieldId="16"/>
    <tableColumn id="17" xr3:uid="{BAD58843-8AE9-47A8-981B-8EFD64DC0C6C}" uniqueName="17" name="GBR" queryTableFieldId="17"/>
    <tableColumn id="18" xr3:uid="{10D88801-07A8-4463-9DDF-16F30F10A038}" uniqueName="18" name="raceday_funding" queryTableFieldId="18"/>
    <tableColumn id="19" xr3:uid="{A83EE00F-DC2E-47B6-A9E8-D3A667328790}" uniqueName="19" name="export_TO" queryTableFieldId="19"/>
    <tableColumn id="20" xr3:uid="{A17F7F7B-42A8-4DA0-915E-C0C527A0B8E3}" uniqueName="20" name="GBR_TO_perc" queryTableFieldId="20"/>
    <tableColumn id="21" xr3:uid="{F207DFA6-A2A1-4866-95A9-BCFD2BD76394}" uniqueName="21" name="GBR_percent_funding" queryTableFieldId="21"/>
    <tableColumn id="22" xr3:uid="{4416FC5A-90E3-4B5A-8679-1839638F58FF}" uniqueName="22" name="Turnover_percent_funding" queryTableFieldId="22"/>
    <tableColumn id="23" xr3:uid="{5B63CD0B-4A9B-422A-B5F2-2AD78014FB46}" uniqueName="23" name="lastyr_TO" queryTableFieldId="23"/>
    <tableColumn id="24" xr3:uid="{A2FABE5C-932B-40A1-81A5-D98F94C0C7FA}" uniqueName="24" name="lastyr_GBR" queryTableFieldId="24"/>
    <tableColumn id="25" xr3:uid="{0FD72B2E-D85E-4E8D-A243-A7B3BE78C491}" uniqueName="25" name="lastyr_GBR_TO_perc" queryTableFieldId="25"/>
    <tableColumn id="26" xr3:uid="{03755AF2-8405-4EEF-965D-85F6B2B97C90}" uniqueName="26" name="Month" queryTableFieldId="26"/>
    <tableColumn id="27" xr3:uid="{15138BCC-65BF-4314-ACD0-72F367B021E2}" uniqueName="27" name="Quarter" queryTableFieldId="2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N2" tableType="queryTable" totalsRowShown="0">
  <autoFilter ref="A1:N2" xr:uid="{F675410A-C968-4FBA-A6D1-841FBE7DD530}"/>
  <tableColumns count="14">
    <tableColumn id="2" xr3:uid="{76DA60AF-B68C-47B9-AB91-E842D39AA0BD}" uniqueName="2" name="racing_season" queryTableFieldId="2" dataDxfId="5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4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  <tableColumn id="1" xr3:uid="{F3D11CA1-930C-4296-8573-BAB488BA9C25}" uniqueName="1" name="Export Earned (AUD)" queryTableFieldId="15" dataDxfId="3">
      <calculatedColumnFormula>0.03*prior_yr_cumulative_total[[#This Row],[export_TO]]</calculatedColumnFormula>
    </tableColumn>
    <tableColumn id="14" xr3:uid="{753978AC-6C27-46F2-B4C8-531D2C6F2EAD}" uniqueName="14" name="GBR + Export Earned" queryTableFieldId="16" dataDxfId="2">
      <calculatedColumnFormula>prior_yr_cumulative_total[[#This Row],[GBR]]+prior_yr_cumulative_total[[#This Row],[Export Earned (AUD)]]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" dT="2025-03-31T01:56:00.62" personId="{230D2E87-11BD-4548-A3AA-2538F9312EAD}" id="{FA7933E4-2558-481F-90B8-9D9EE91F377C}">
    <text>Includes Betcha activity</text>
  </threadedComment>
  <threadedComment ref="L1" dT="2025-03-31T01:56:10.50" personId="{230D2E87-11BD-4548-A3AA-2538F9312EAD}" id="{7E1F01A7-D639-4BFC-A632-D48C4D5FF66B}">
    <text>Includes Betcha activity</text>
  </threadedComment>
  <threadedComment ref="S1" dT="2025-03-13T01:56:34.49" personId="{230D2E87-11BD-4548-A3AA-2538F9312EAD}" id="{ACB14598-4FA4-472F-A5CB-EA9DCB1B2611}">
    <text>This is 3% of Total Export Turnover (AUD)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9" dT="2025-03-31T01:55:30.50" personId="{230D2E87-11BD-4548-A3AA-2538F9312EAD}" id="{D5FB93DF-5646-4078-9A1D-04C1855F4D48}">
    <text>Includes Betcha activity</text>
  </threadedComment>
  <threadedComment ref="L9" dT="2025-03-31T01:55:37.20" personId="{230D2E87-11BD-4548-A3AA-2538F9312EAD}" id="{2BC7A072-370B-456C-BCC0-CA044511F23A}">
    <text>Includes Betcha activity</text>
  </threadedComment>
  <threadedComment ref="I27" dT="2025-03-31T01:54:40.74" personId="{230D2E87-11BD-4548-A3AA-2538F9312EAD}" id="{787E9094-4756-409E-85ED-2E95E8F3592B}">
    <text>Includes Betcha activity</text>
  </threadedComment>
  <threadedComment ref="J27" dT="2025-03-31T01:54:45.75" personId="{230D2E87-11BD-4548-A3AA-2538F9312EAD}" id="{118F41FF-CED0-4B38-A266-22C592806CDC}">
    <text>Includes Betcha activity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42"/>
  <sheetViews>
    <sheetView showGridLines="0" tabSelected="1" workbookViewId="0">
      <selection activeCell="F2" sqref="F2"/>
    </sheetView>
  </sheetViews>
  <sheetFormatPr defaultRowHeight="14.4" x14ac:dyDescent="0.3"/>
  <cols>
    <col min="1" max="1" width="36.88671875" customWidth="1"/>
    <col min="5" max="5" width="13.5546875" customWidth="1"/>
    <col min="6" max="6" width="16.109375" customWidth="1"/>
    <col min="7" max="7" width="9.33203125" customWidth="1"/>
  </cols>
  <sheetData>
    <row r="1" spans="1:7" ht="28.8" x14ac:dyDescent="0.55000000000000004">
      <c r="A1" s="1" t="s">
        <v>0</v>
      </c>
      <c r="E1" s="2" t="s">
        <v>1</v>
      </c>
      <c r="F1" s="124">
        <f>DATE(2025, 6, 12)</f>
        <v>45820</v>
      </c>
      <c r="G1" t="s">
        <v>2</v>
      </c>
    </row>
    <row r="3" spans="1:7" x14ac:dyDescent="0.3">
      <c r="A3" s="2" t="s">
        <v>3</v>
      </c>
    </row>
    <row r="4" spans="1:7" x14ac:dyDescent="0.3">
      <c r="A4" t="s">
        <v>4</v>
      </c>
    </row>
    <row r="5" spans="1:7" x14ac:dyDescent="0.3">
      <c r="A5" t="s">
        <v>5</v>
      </c>
    </row>
    <row r="6" spans="1:7" x14ac:dyDescent="0.3">
      <c r="A6" t="s">
        <v>6</v>
      </c>
    </row>
    <row r="7" spans="1:7" x14ac:dyDescent="0.3">
      <c r="A7" t="s">
        <v>7</v>
      </c>
    </row>
    <row r="9" spans="1:7" x14ac:dyDescent="0.3">
      <c r="A9" s="2"/>
    </row>
    <row r="10" spans="1:7" x14ac:dyDescent="0.3">
      <c r="A10" s="2" t="s">
        <v>8</v>
      </c>
      <c r="B10" t="s">
        <v>9</v>
      </c>
    </row>
    <row r="11" spans="1:7" x14ac:dyDescent="0.3">
      <c r="A11" t="s">
        <v>10</v>
      </c>
      <c r="B11" t="s">
        <v>11</v>
      </c>
    </row>
    <row r="12" spans="1:7" x14ac:dyDescent="0.3">
      <c r="A12" t="s">
        <v>12</v>
      </c>
      <c r="B12" t="s">
        <v>13</v>
      </c>
    </row>
    <row r="13" spans="1:7" x14ac:dyDescent="0.3">
      <c r="B13" t="s">
        <v>14</v>
      </c>
    </row>
    <row r="14" spans="1:7" x14ac:dyDescent="0.3">
      <c r="B14" t="s">
        <v>15</v>
      </c>
    </row>
    <row r="15" spans="1:7" x14ac:dyDescent="0.3">
      <c r="A15" t="s">
        <v>16</v>
      </c>
      <c r="B15" t="s">
        <v>17</v>
      </c>
    </row>
    <row r="16" spans="1:7" x14ac:dyDescent="0.3">
      <c r="A16" t="s">
        <v>18</v>
      </c>
      <c r="B16" t="s">
        <v>19</v>
      </c>
    </row>
    <row r="17" spans="1:2" x14ac:dyDescent="0.3">
      <c r="A17" t="s">
        <v>20</v>
      </c>
      <c r="B17" t="s">
        <v>21</v>
      </c>
    </row>
    <row r="20" spans="1:2" x14ac:dyDescent="0.3">
      <c r="A20" t="s">
        <v>22</v>
      </c>
      <c r="B20" t="s">
        <v>23</v>
      </c>
    </row>
    <row r="21" spans="1:2" x14ac:dyDescent="0.3">
      <c r="A21" t="s">
        <v>24</v>
      </c>
      <c r="B21" t="s">
        <v>25</v>
      </c>
    </row>
    <row r="24" spans="1:2" x14ac:dyDescent="0.3">
      <c r="A24" t="s">
        <v>26</v>
      </c>
      <c r="B24" t="s">
        <v>27</v>
      </c>
    </row>
    <row r="25" spans="1:2" x14ac:dyDescent="0.3">
      <c r="B25" s="114" t="s">
        <v>28</v>
      </c>
    </row>
    <row r="27" spans="1:2" x14ac:dyDescent="0.3">
      <c r="A27" t="s">
        <v>29</v>
      </c>
      <c r="B27" t="s">
        <v>30</v>
      </c>
    </row>
    <row r="28" spans="1:2" x14ac:dyDescent="0.3">
      <c r="A28" t="s">
        <v>31</v>
      </c>
      <c r="B28" t="s">
        <v>32</v>
      </c>
    </row>
    <row r="31" spans="1:2" x14ac:dyDescent="0.3">
      <c r="A31" s="2" t="s">
        <v>33</v>
      </c>
    </row>
    <row r="32" spans="1:2" x14ac:dyDescent="0.3">
      <c r="A32" t="s">
        <v>34</v>
      </c>
      <c r="B32" t="s">
        <v>35</v>
      </c>
    </row>
    <row r="33" spans="1:2" x14ac:dyDescent="0.3">
      <c r="A33" t="s">
        <v>36</v>
      </c>
      <c r="B33" t="s">
        <v>37</v>
      </c>
    </row>
    <row r="34" spans="1:2" x14ac:dyDescent="0.3">
      <c r="B34" s="114" t="s">
        <v>38</v>
      </c>
    </row>
    <row r="36" spans="1:2" x14ac:dyDescent="0.3">
      <c r="A36" s="2" t="s">
        <v>39</v>
      </c>
    </row>
    <row r="37" spans="1:2" x14ac:dyDescent="0.3">
      <c r="A37" t="s">
        <v>40</v>
      </c>
      <c r="B37" t="s">
        <v>41</v>
      </c>
    </row>
    <row r="38" spans="1:2" x14ac:dyDescent="0.3">
      <c r="B38" t="s">
        <v>42</v>
      </c>
    </row>
    <row r="39" spans="1:2" x14ac:dyDescent="0.3">
      <c r="B39" s="114"/>
    </row>
    <row r="42" spans="1:2" x14ac:dyDescent="0.3">
      <c r="A42" s="2" t="s">
        <v>43</v>
      </c>
      <c r="B42" t="s">
        <v>44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AE261"/>
  <sheetViews>
    <sheetView workbookViewId="0">
      <pane ySplit="1" topLeftCell="A249" activePane="bottomLeft" state="frozen"/>
      <selection pane="bottomLeft" activeCell="M261" sqref="M261"/>
    </sheetView>
  </sheetViews>
  <sheetFormatPr defaultColWidth="9.109375" defaultRowHeight="14.4" x14ac:dyDescent="0.3"/>
  <cols>
    <col min="1" max="1" width="14.6640625" style="3" bestFit="1" customWidth="1"/>
    <col min="2" max="2" width="10.44140625" style="3" bestFit="1" customWidth="1"/>
    <col min="3" max="3" width="31.6640625" style="3" bestFit="1" customWidth="1"/>
    <col min="4" max="4" width="13.6640625" style="3" bestFit="1" customWidth="1"/>
    <col min="5" max="5" width="8" style="3" bestFit="1" customWidth="1"/>
    <col min="6" max="6" width="9.6640625" style="3" bestFit="1" customWidth="1"/>
    <col min="7" max="7" width="9.33203125" style="3" bestFit="1" customWidth="1"/>
    <col min="8" max="8" width="12.33203125" style="4" bestFit="1" customWidth="1"/>
    <col min="9" max="9" width="20.6640625" style="5" bestFit="1" customWidth="1"/>
    <col min="10" max="10" width="16.6640625" style="5" bestFit="1" customWidth="1"/>
    <col min="11" max="11" width="13.6640625" style="9" bestFit="1" customWidth="1"/>
    <col min="12" max="12" width="13.109375" style="4" bestFit="1" customWidth="1"/>
    <col min="13" max="13" width="12.109375" style="5" bestFit="1" customWidth="1"/>
    <col min="14" max="15" width="10.88671875" style="5" customWidth="1"/>
    <col min="16" max="16" width="17.109375" style="5" bestFit="1" customWidth="1"/>
    <col min="17" max="17" width="11.33203125" style="4" bestFit="1" customWidth="1"/>
    <col min="18" max="18" width="15.88671875" style="4" bestFit="1" customWidth="1"/>
    <col min="19" max="19" width="20.33203125" style="9" bestFit="1" customWidth="1"/>
    <col min="20" max="20" width="18.88671875" style="9" bestFit="1" customWidth="1"/>
    <col min="21" max="21" width="14.5546875" style="4" bestFit="1" customWidth="1"/>
    <col min="22" max="22" width="19.44140625" style="4" bestFit="1" customWidth="1"/>
    <col min="23" max="23" width="25.6640625" style="4" bestFit="1" customWidth="1"/>
    <col min="24" max="24" width="9" style="3" bestFit="1" customWidth="1"/>
    <col min="25" max="25" width="9.6640625" style="3" bestFit="1" customWidth="1"/>
    <col min="26" max="26" width="36.6640625" style="3" bestFit="1" customWidth="1"/>
    <col min="27" max="27" width="15" style="3" bestFit="1" customWidth="1"/>
    <col min="28" max="28" width="15.44140625" style="5" bestFit="1" customWidth="1"/>
    <col min="29" max="29" width="16.5546875" style="5" bestFit="1" customWidth="1"/>
    <col min="30" max="31" width="14" style="3" bestFit="1" customWidth="1"/>
    <col min="32" max="16384" width="9.109375" style="3"/>
  </cols>
  <sheetData>
    <row r="1" spans="1:31" x14ac:dyDescent="0.3">
      <c r="A1" s="3" t="s">
        <v>45</v>
      </c>
      <c r="B1" s="3" t="s">
        <v>46</v>
      </c>
      <c r="C1" s="3" t="s">
        <v>47</v>
      </c>
      <c r="D1" s="3" t="s">
        <v>48</v>
      </c>
      <c r="E1" s="3" t="s">
        <v>49</v>
      </c>
      <c r="F1" s="3" t="s">
        <v>50</v>
      </c>
      <c r="G1" s="3" t="s">
        <v>51</v>
      </c>
      <c r="H1" s="4" t="s">
        <v>52</v>
      </c>
      <c r="I1" s="16" t="s">
        <v>53</v>
      </c>
      <c r="J1" s="16" t="s">
        <v>54</v>
      </c>
      <c r="K1" s="4" t="s">
        <v>55</v>
      </c>
      <c r="L1" s="4" t="s">
        <v>16</v>
      </c>
      <c r="M1" s="5" t="s">
        <v>56</v>
      </c>
      <c r="N1" s="5" t="s">
        <v>57</v>
      </c>
      <c r="O1" s="5" t="s">
        <v>12</v>
      </c>
      <c r="P1" s="5" t="s">
        <v>58</v>
      </c>
      <c r="Q1" s="4" t="s">
        <v>59</v>
      </c>
      <c r="R1" s="4" t="s">
        <v>60</v>
      </c>
      <c r="S1" t="s">
        <v>61</v>
      </c>
      <c r="T1" s="10" t="s">
        <v>62</v>
      </c>
      <c r="U1" s="10" t="s">
        <v>63</v>
      </c>
      <c r="V1" s="11" t="s">
        <v>64</v>
      </c>
      <c r="W1" s="3" t="s">
        <v>65</v>
      </c>
      <c r="X1" s="3" t="s">
        <v>66</v>
      </c>
      <c r="Y1" s="3" t="s">
        <v>67</v>
      </c>
      <c r="Z1" s="3" t="s">
        <v>68</v>
      </c>
      <c r="AA1" s="3" t="s">
        <v>69</v>
      </c>
      <c r="AB1" s="5" t="s">
        <v>70</v>
      </c>
      <c r="AC1" s="5" t="s">
        <v>71</v>
      </c>
      <c r="AD1" s="3" t="s">
        <v>72</v>
      </c>
      <c r="AE1" s="3" t="s">
        <v>73</v>
      </c>
    </row>
    <row r="2" spans="1:31" x14ac:dyDescent="0.3">
      <c r="A2" s="8">
        <v>45505</v>
      </c>
      <c r="B2" s="3" t="s">
        <v>74</v>
      </c>
      <c r="C2" s="3" t="s">
        <v>75</v>
      </c>
      <c r="D2" s="3" t="s">
        <v>76</v>
      </c>
      <c r="E2" s="3">
        <v>7</v>
      </c>
      <c r="F2" s="3">
        <v>59</v>
      </c>
      <c r="G2" s="3">
        <v>8.4</v>
      </c>
      <c r="H2" s="4">
        <v>0.14299999999999999</v>
      </c>
      <c r="I2" s="5">
        <v>75030</v>
      </c>
      <c r="J2" s="5">
        <v>10719</v>
      </c>
      <c r="K2" s="4">
        <v>1.075</v>
      </c>
      <c r="L2" s="4">
        <v>0</v>
      </c>
      <c r="M2" s="5">
        <v>418116</v>
      </c>
      <c r="N2" s="5">
        <v>80666</v>
      </c>
      <c r="O2" s="5">
        <v>97130.84</v>
      </c>
      <c r="P2" s="5">
        <v>180727</v>
      </c>
      <c r="Q2" s="4">
        <v>0.193</v>
      </c>
      <c r="R2" s="4">
        <v>0.83</v>
      </c>
      <c r="S2" s="18">
        <v>4.3049999999999997</v>
      </c>
      <c r="T2" s="10">
        <v>369434</v>
      </c>
      <c r="U2" s="10">
        <v>53624</v>
      </c>
      <c r="V2" s="11">
        <v>0.14499999999999999</v>
      </c>
      <c r="W2" s="12">
        <f>IF(raceday_22_23[[#This Row],[Last Year Turnover]]=0, "No Corresponding PY Meeting", (raceday_22_23[[#This Row],[Betcha Inc. TO]]-raceday_22_23[[#This Row],[Last Year Turnover]])/raceday_22_23[[#This Row],[Last Year Turnover]])</f>
        <v>0.13181030657708825</v>
      </c>
      <c r="X2" s="3">
        <f>MONTH(raceday_22_23[[#This Row],[Raceday Date]])</f>
        <v>8</v>
      </c>
      <c r="Y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" s="3" t="str">
        <f>raceday_22_23[[#This Row],[Raceday Date]]&amp;raceday_22_23[[#This Row],[Club]]</f>
        <v>45505Winton Harness Racing Club Inc</v>
      </c>
      <c r="AA2" s="5">
        <f>0.03*raceday_22_23[[#This Row],[Export TO (AUD)]]</f>
        <v>5421.8099999999995</v>
      </c>
      <c r="AB2" s="5">
        <f>_xlfn.XLOOKUP(raceday_22_23[[#This Row],[Helper]],'Betcha Integrated'!A:A,'Betcha Integrated'!F:F, 0)</f>
        <v>418129.20880000002</v>
      </c>
      <c r="AC2" s="5">
        <f>_xlfn.XLOOKUP(raceday_22_23[[#This Row],[Helper]],'Betcha Integrated'!A:A,'Betcha Integrated'!G:G, 0)</f>
        <v>80513.772549999994</v>
      </c>
      <c r="AD2" s="5">
        <f>raceday_22_23[[#This Row],[Export Earned]]+raceday_22_23[[#This Row],[Betcha Inc. GBR]]</f>
        <v>85935.582549999992</v>
      </c>
      <c r="AE2" s="88">
        <f>ROUND(raceday_22_23[[#This Row],[Fav. Win %]]*raceday_22_23[[#This Row],[Races]], 0)</f>
        <v>1</v>
      </c>
    </row>
    <row r="3" spans="1:31" x14ac:dyDescent="0.3">
      <c r="A3" s="8">
        <v>45506</v>
      </c>
      <c r="B3" s="3" t="s">
        <v>77</v>
      </c>
      <c r="C3" s="3" t="s">
        <v>78</v>
      </c>
      <c r="D3" s="3" t="s">
        <v>79</v>
      </c>
      <c r="E3" s="3">
        <v>8</v>
      </c>
      <c r="F3" s="3">
        <v>64</v>
      </c>
      <c r="G3" s="3">
        <v>8</v>
      </c>
      <c r="H3" s="4">
        <v>0.375</v>
      </c>
      <c r="I3" s="5">
        <v>120180</v>
      </c>
      <c r="J3" s="5">
        <v>15022</v>
      </c>
      <c r="K3" s="4">
        <v>0.77800000000000002</v>
      </c>
      <c r="L3" s="4">
        <v>0</v>
      </c>
      <c r="M3" s="5">
        <v>440536</v>
      </c>
      <c r="N3" s="5">
        <v>93474</v>
      </c>
      <c r="O3" s="5">
        <v>146585.63</v>
      </c>
      <c r="P3" s="5">
        <v>185678</v>
      </c>
      <c r="Q3" s="4">
        <v>0.21199999999999999</v>
      </c>
      <c r="R3" s="4">
        <v>0.63800000000000001</v>
      </c>
      <c r="S3" s="18">
        <v>3.0049999999999999</v>
      </c>
      <c r="T3" s="10">
        <v>730860</v>
      </c>
      <c r="U3" s="10">
        <v>118894</v>
      </c>
      <c r="V3" s="11">
        <v>0.16300000000000001</v>
      </c>
      <c r="W3" s="12">
        <f>IF(raceday_22_23[[#This Row],[Last Year Turnover]]=0, "No Corresponding PY Meeting", (raceday_22_23[[#This Row],[Betcha Inc. TO]]-raceday_22_23[[#This Row],[Last Year Turnover]])/raceday_22_23[[#This Row],[Last Year Turnover]])</f>
        <v>-0.39553298921818136</v>
      </c>
      <c r="X3" s="3">
        <f>MONTH(raceday_22_23[[#This Row],[Raceday Date]])</f>
        <v>8</v>
      </c>
      <c r="Y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" s="3" t="str">
        <f>raceday_22_23[[#This Row],[Raceday Date]]&amp;raceday_22_23[[#This Row],[Club]]</f>
        <v>45506Auckland Trotting Club Inc</v>
      </c>
      <c r="AA3" s="5">
        <f>0.03*raceday_22_23[[#This Row],[Export TO (AUD)]]</f>
        <v>5570.34</v>
      </c>
      <c r="AB3" s="5">
        <f>_xlfn.XLOOKUP(raceday_22_23[[#This Row],[Helper]],'Betcha Integrated'!A:A,'Betcha Integrated'!F:F, 0)</f>
        <v>441780.75949999999</v>
      </c>
      <c r="AC3" s="5">
        <f>_xlfn.XLOOKUP(raceday_22_23[[#This Row],[Helper]],'Betcha Integrated'!A:A,'Betcha Integrated'!G:G, 0)</f>
        <v>91815.361050000007</v>
      </c>
      <c r="AD3" s="5">
        <f>raceday_22_23[[#This Row],[Export Earned]]+raceday_22_23[[#This Row],[Betcha Inc. GBR]]</f>
        <v>97385.701050000003</v>
      </c>
      <c r="AE3" s="88">
        <f>ROUND(raceday_22_23[[#This Row],[Fav. Win %]]*raceday_22_23[[#This Row],[Races]], 0)</f>
        <v>3</v>
      </c>
    </row>
    <row r="4" spans="1:31" x14ac:dyDescent="0.3">
      <c r="A4" s="8">
        <v>45506</v>
      </c>
      <c r="B4" s="3" t="s">
        <v>77</v>
      </c>
      <c r="C4" s="3" t="s">
        <v>80</v>
      </c>
      <c r="D4" s="3" t="s">
        <v>81</v>
      </c>
      <c r="E4" s="3">
        <v>10</v>
      </c>
      <c r="F4" s="3">
        <v>99</v>
      </c>
      <c r="G4" s="3">
        <v>9.9</v>
      </c>
      <c r="H4" s="4">
        <v>0.4</v>
      </c>
      <c r="I4" s="5">
        <v>144487</v>
      </c>
      <c r="J4" s="5">
        <v>14449</v>
      </c>
      <c r="K4" s="4">
        <v>1.1539999999999999</v>
      </c>
      <c r="L4" s="4">
        <v>0</v>
      </c>
      <c r="M4" s="5">
        <v>860676</v>
      </c>
      <c r="N4" s="5">
        <v>166719</v>
      </c>
      <c r="O4" s="5">
        <v>182184.42</v>
      </c>
      <c r="P4" s="5">
        <v>291186</v>
      </c>
      <c r="Q4" s="4">
        <v>0.19400000000000001</v>
      </c>
      <c r="R4" s="4">
        <v>0.91500000000000004</v>
      </c>
      <c r="S4" s="18">
        <v>4.7240000000000002</v>
      </c>
      <c r="T4" s="10">
        <v>855754</v>
      </c>
      <c r="U4" s="10">
        <v>157604</v>
      </c>
      <c r="V4" s="11">
        <v>0.184</v>
      </c>
      <c r="W4" s="12">
        <f>IF(raceday_22_23[[#This Row],[Last Year Turnover]]=0, "No Corresponding PY Meeting", (raceday_22_23[[#This Row],[Betcha Inc. TO]]-raceday_22_23[[#This Row],[Last Year Turnover]])/raceday_22_23[[#This Row],[Last Year Turnover]])</f>
        <v>5.968127405771937E-3</v>
      </c>
      <c r="X4" s="3">
        <f>MONTH(raceday_22_23[[#This Row],[Raceday Date]])</f>
        <v>8</v>
      </c>
      <c r="Y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" s="3" t="str">
        <f>raceday_22_23[[#This Row],[Raceday Date]]&amp;raceday_22_23[[#This Row],[Club]]</f>
        <v>45506NZ Metropolitan Trotting Club Inc</v>
      </c>
      <c r="AA4" s="5">
        <f>0.03*raceday_22_23[[#This Row],[Export TO (AUD)]]</f>
        <v>8735.58</v>
      </c>
      <c r="AB4" s="5">
        <f>_xlfn.XLOOKUP(raceday_22_23[[#This Row],[Helper]],'Betcha Integrated'!A:A,'Betcha Integrated'!F:F, 0)</f>
        <v>860861.24889999896</v>
      </c>
      <c r="AC4" s="5">
        <f>_xlfn.XLOOKUP(raceday_22_23[[#This Row],[Helper]],'Betcha Integrated'!A:A,'Betcha Integrated'!G:G, 0)</f>
        <v>166617.4047999999</v>
      </c>
      <c r="AD4" s="5">
        <f>raceday_22_23[[#This Row],[Export Earned]]+raceday_22_23[[#This Row],[Betcha Inc. GBR]]</f>
        <v>175352.98479999989</v>
      </c>
      <c r="AE4" s="88">
        <f>ROUND(raceday_22_23[[#This Row],[Fav. Win %]]*raceday_22_23[[#This Row],[Races]], 0)</f>
        <v>4</v>
      </c>
    </row>
    <row r="5" spans="1:31" x14ac:dyDescent="0.3">
      <c r="A5" s="8">
        <v>45508</v>
      </c>
      <c r="B5" s="3" t="s">
        <v>82</v>
      </c>
      <c r="C5" s="3" t="s">
        <v>80</v>
      </c>
      <c r="D5" s="3" t="s">
        <v>81</v>
      </c>
      <c r="E5" s="3">
        <v>7</v>
      </c>
      <c r="F5" s="3">
        <v>67</v>
      </c>
      <c r="G5" s="3">
        <v>9.6</v>
      </c>
      <c r="H5" s="4">
        <v>0.28599999999999998</v>
      </c>
      <c r="I5" s="5">
        <v>69815</v>
      </c>
      <c r="J5" s="5">
        <v>9974</v>
      </c>
      <c r="K5" s="4">
        <v>2.3769999999999998</v>
      </c>
      <c r="L5" s="4">
        <v>0.14299999999999999</v>
      </c>
      <c r="M5" s="5">
        <v>588749</v>
      </c>
      <c r="N5" s="5">
        <v>165949</v>
      </c>
      <c r="O5" s="5">
        <v>107616.92</v>
      </c>
      <c r="P5" s="5">
        <v>140143</v>
      </c>
      <c r="Q5" s="4">
        <v>0.28199999999999997</v>
      </c>
      <c r="R5" s="4">
        <v>1.542</v>
      </c>
      <c r="S5" s="18">
        <v>5.4710000000000001</v>
      </c>
      <c r="T5" s="10">
        <v>564775</v>
      </c>
      <c r="U5" s="10">
        <v>62946</v>
      </c>
      <c r="V5" s="11">
        <v>0.111</v>
      </c>
      <c r="W5" s="12">
        <f>IF(raceday_22_23[[#This Row],[Last Year Turnover]]=0, "No Corresponding PY Meeting", (raceday_22_23[[#This Row],[Betcha Inc. TO]]-raceday_22_23[[#This Row],[Last Year Turnover]])/raceday_22_23[[#This Row],[Last Year Turnover]])</f>
        <v>4.2691689787966954E-2</v>
      </c>
      <c r="X5" s="3">
        <f>MONTH(raceday_22_23[[#This Row],[Raceday Date]])</f>
        <v>8</v>
      </c>
      <c r="Y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" s="3" t="str">
        <f>raceday_22_23[[#This Row],[Raceday Date]]&amp;raceday_22_23[[#This Row],[Club]]</f>
        <v>45508NZ Metropolitan Trotting Club Inc</v>
      </c>
      <c r="AA5" s="5">
        <f>0.03*raceday_22_23[[#This Row],[Export TO (AUD)]]</f>
        <v>4204.29</v>
      </c>
      <c r="AB5" s="5">
        <f>_xlfn.XLOOKUP(raceday_22_23[[#This Row],[Helper]],'Betcha Integrated'!A:A,'Betcha Integrated'!F:F, 0)</f>
        <v>588886.19909999904</v>
      </c>
      <c r="AC5" s="5">
        <f>_xlfn.XLOOKUP(raceday_22_23[[#This Row],[Helper]],'Betcha Integrated'!A:A,'Betcha Integrated'!G:G, 0)</f>
        <v>165559.96469999989</v>
      </c>
      <c r="AD5" s="5">
        <f>raceday_22_23[[#This Row],[Export Earned]]+raceday_22_23[[#This Row],[Betcha Inc. GBR]]</f>
        <v>169764.2546999999</v>
      </c>
      <c r="AE5" s="88">
        <f>ROUND(raceday_22_23[[#This Row],[Fav. Win %]]*raceday_22_23[[#This Row],[Races]], 0)</f>
        <v>2</v>
      </c>
    </row>
    <row r="6" spans="1:31" x14ac:dyDescent="0.3">
      <c r="A6" s="8">
        <v>45510</v>
      </c>
      <c r="B6" s="3" t="s">
        <v>83</v>
      </c>
      <c r="C6" s="3" t="s">
        <v>84</v>
      </c>
      <c r="D6" s="3" t="s">
        <v>79</v>
      </c>
      <c r="E6" s="3">
        <v>6</v>
      </c>
      <c r="F6" s="3">
        <v>52</v>
      </c>
      <c r="G6" s="3">
        <v>8.6999999999999993</v>
      </c>
      <c r="H6" s="4">
        <v>0.66700000000000004</v>
      </c>
      <c r="I6" s="5">
        <v>45200</v>
      </c>
      <c r="J6" s="5">
        <v>7533</v>
      </c>
      <c r="K6" s="4">
        <v>1.089</v>
      </c>
      <c r="L6" s="4">
        <v>0</v>
      </c>
      <c r="M6" s="5">
        <v>242699</v>
      </c>
      <c r="N6" s="5">
        <v>49226</v>
      </c>
      <c r="O6" s="5">
        <v>70596.240000000005</v>
      </c>
      <c r="P6" s="5">
        <v>237025</v>
      </c>
      <c r="Q6" s="4">
        <v>0.20300000000000001</v>
      </c>
      <c r="R6" s="4">
        <v>0.69699999999999995</v>
      </c>
      <c r="S6" s="18">
        <v>3.4380000000000002</v>
      </c>
      <c r="T6" s="10">
        <v>0</v>
      </c>
      <c r="U6" s="10">
        <v>0</v>
      </c>
      <c r="V6" s="11">
        <v>0</v>
      </c>
      <c r="W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6" s="3">
        <f>MONTH(raceday_22_23[[#This Row],[Raceday Date]])</f>
        <v>8</v>
      </c>
      <c r="Y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" s="3" t="str">
        <f>raceday_22_23[[#This Row],[Raceday Date]]&amp;raceday_22_23[[#This Row],[Club]]</f>
        <v>45510Waikato Bay of Plenty Harness Inc</v>
      </c>
      <c r="AA6" s="5">
        <f>0.03*raceday_22_23[[#This Row],[Export TO (AUD)]]</f>
        <v>7110.75</v>
      </c>
      <c r="AB6" s="5">
        <f>_xlfn.XLOOKUP(raceday_22_23[[#This Row],[Helper]],'Betcha Integrated'!A:A,'Betcha Integrated'!F:F, 0)</f>
        <v>242627.49149999989</v>
      </c>
      <c r="AC6" s="5">
        <f>_xlfn.XLOOKUP(raceday_22_23[[#This Row],[Helper]],'Betcha Integrated'!A:A,'Betcha Integrated'!G:G, 0)</f>
        <v>48944.909149999898</v>
      </c>
      <c r="AD6" s="5">
        <f>raceday_22_23[[#This Row],[Export Earned]]+raceday_22_23[[#This Row],[Betcha Inc. GBR]]</f>
        <v>56055.659149999898</v>
      </c>
      <c r="AE6" s="88">
        <f>ROUND(raceday_22_23[[#This Row],[Fav. Win %]]*raceday_22_23[[#This Row],[Races]], 0)</f>
        <v>4</v>
      </c>
    </row>
    <row r="7" spans="1:31" x14ac:dyDescent="0.3">
      <c r="A7" s="8">
        <v>45512</v>
      </c>
      <c r="B7" s="3" t="s">
        <v>74</v>
      </c>
      <c r="C7" s="3" t="s">
        <v>85</v>
      </c>
      <c r="D7" s="3" t="s">
        <v>76</v>
      </c>
      <c r="E7" s="3">
        <v>7</v>
      </c>
      <c r="F7" s="3">
        <v>55</v>
      </c>
      <c r="G7" s="3">
        <v>7.9</v>
      </c>
      <c r="H7" s="4">
        <v>0.42899999999999999</v>
      </c>
      <c r="I7" s="5">
        <v>73208</v>
      </c>
      <c r="J7" s="5">
        <v>10458</v>
      </c>
      <c r="K7" s="4">
        <v>0.65100000000000002</v>
      </c>
      <c r="L7" s="4">
        <v>0</v>
      </c>
      <c r="M7" s="5">
        <v>306068</v>
      </c>
      <c r="N7" s="5">
        <v>47640</v>
      </c>
      <c r="O7" s="5">
        <v>98035.36</v>
      </c>
      <c r="P7" s="5">
        <v>139494</v>
      </c>
      <c r="Q7" s="4">
        <v>0.156</v>
      </c>
      <c r="R7" s="4">
        <v>0.48599999999999999</v>
      </c>
      <c r="S7" s="18">
        <v>3.1219999999999999</v>
      </c>
      <c r="T7" s="10">
        <v>0</v>
      </c>
      <c r="U7" s="10">
        <v>0</v>
      </c>
      <c r="V7" s="11">
        <v>0</v>
      </c>
      <c r="W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7" s="3">
        <f>MONTH(raceday_22_23[[#This Row],[Raceday Date]])</f>
        <v>8</v>
      </c>
      <c r="Y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7" s="3" t="str">
        <f>raceday_22_23[[#This Row],[Raceday Date]]&amp;raceday_22_23[[#This Row],[Club]]</f>
        <v>45512Invercargill Harness Racing Club Inc</v>
      </c>
      <c r="AA7" s="5">
        <f>0.03*raceday_22_23[[#This Row],[Export TO (AUD)]]</f>
        <v>4184.82</v>
      </c>
      <c r="AB7" s="5">
        <f>_xlfn.XLOOKUP(raceday_22_23[[#This Row],[Helper]],'Betcha Integrated'!A:A,'Betcha Integrated'!F:F, 0)</f>
        <v>310601.06819999998</v>
      </c>
      <c r="AC7" s="5">
        <f>_xlfn.XLOOKUP(raceday_22_23[[#This Row],[Helper]],'Betcha Integrated'!A:A,'Betcha Integrated'!G:G, 0)</f>
        <v>48524.66835</v>
      </c>
      <c r="AD7" s="5">
        <f>raceday_22_23[[#This Row],[Export Earned]]+raceday_22_23[[#This Row],[Betcha Inc. GBR]]</f>
        <v>52709.48835</v>
      </c>
      <c r="AE7" s="88">
        <f>ROUND(raceday_22_23[[#This Row],[Fav. Win %]]*raceday_22_23[[#This Row],[Races]], 0)</f>
        <v>3</v>
      </c>
    </row>
    <row r="8" spans="1:31" x14ac:dyDescent="0.3">
      <c r="A8" s="8">
        <v>45513</v>
      </c>
      <c r="B8" s="3" t="s">
        <v>77</v>
      </c>
      <c r="C8" s="3" t="s">
        <v>78</v>
      </c>
      <c r="D8" s="3" t="s">
        <v>79</v>
      </c>
      <c r="E8" s="3">
        <v>7</v>
      </c>
      <c r="F8" s="3">
        <v>51</v>
      </c>
      <c r="G8" s="3">
        <v>7.3</v>
      </c>
      <c r="H8" s="4">
        <v>0.42899999999999999</v>
      </c>
      <c r="I8" s="5">
        <v>106866</v>
      </c>
      <c r="J8" s="5">
        <v>15267</v>
      </c>
      <c r="K8" s="4">
        <v>1.0369999999999999</v>
      </c>
      <c r="L8" s="4">
        <v>0.28599999999999998</v>
      </c>
      <c r="M8" s="5">
        <v>396664</v>
      </c>
      <c r="N8" s="5">
        <v>110789</v>
      </c>
      <c r="O8" s="5">
        <v>133166.88</v>
      </c>
      <c r="P8" s="5">
        <v>215914</v>
      </c>
      <c r="Q8" s="4">
        <v>0.27900000000000003</v>
      </c>
      <c r="R8" s="4">
        <v>0.83199999999999996</v>
      </c>
      <c r="S8" s="18">
        <v>2.9790000000000001</v>
      </c>
      <c r="T8" s="10">
        <v>0</v>
      </c>
      <c r="U8" s="10">
        <v>0</v>
      </c>
      <c r="V8" s="11">
        <v>0</v>
      </c>
      <c r="W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8" s="3">
        <f>MONTH(raceday_22_23[[#This Row],[Raceday Date]])</f>
        <v>8</v>
      </c>
      <c r="Y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8" s="3" t="str">
        <f>raceday_22_23[[#This Row],[Raceday Date]]&amp;raceday_22_23[[#This Row],[Club]]</f>
        <v>45513Auckland Trotting Club Inc</v>
      </c>
      <c r="AA8" s="5">
        <f>0.03*raceday_22_23[[#This Row],[Export TO (AUD)]]</f>
        <v>6477.42</v>
      </c>
      <c r="AB8" s="5">
        <f>_xlfn.XLOOKUP(raceday_22_23[[#This Row],[Helper]],'Betcha Integrated'!A:A,'Betcha Integrated'!F:F, 0)</f>
        <v>413888.164099999</v>
      </c>
      <c r="AC8" s="5">
        <f>_xlfn.XLOOKUP(raceday_22_23[[#This Row],[Helper]],'Betcha Integrated'!A:A,'Betcha Integrated'!G:G, 0)</f>
        <v>117655.66954999989</v>
      </c>
      <c r="AD8" s="5">
        <f>raceday_22_23[[#This Row],[Export Earned]]+raceday_22_23[[#This Row],[Betcha Inc. GBR]]</f>
        <v>124133.08954999989</v>
      </c>
      <c r="AE8" s="88">
        <f>ROUND(raceday_22_23[[#This Row],[Fav. Win %]]*raceday_22_23[[#This Row],[Races]], 0)</f>
        <v>3</v>
      </c>
    </row>
    <row r="9" spans="1:31" x14ac:dyDescent="0.3">
      <c r="A9" s="8">
        <v>45513</v>
      </c>
      <c r="B9" s="3" t="s">
        <v>77</v>
      </c>
      <c r="C9" s="3" t="s">
        <v>80</v>
      </c>
      <c r="D9" s="3" t="s">
        <v>81</v>
      </c>
      <c r="E9" s="3">
        <v>10</v>
      </c>
      <c r="F9" s="3">
        <v>89</v>
      </c>
      <c r="G9" s="3">
        <v>8.9</v>
      </c>
      <c r="H9" s="4">
        <v>0.3</v>
      </c>
      <c r="I9" s="5">
        <v>153136</v>
      </c>
      <c r="J9" s="5">
        <v>15314</v>
      </c>
      <c r="K9" s="4">
        <v>1.3049999999999999</v>
      </c>
      <c r="L9" s="4">
        <v>0</v>
      </c>
      <c r="M9" s="5">
        <v>761594</v>
      </c>
      <c r="N9" s="5">
        <v>199812</v>
      </c>
      <c r="O9" s="5">
        <v>190834.42</v>
      </c>
      <c r="P9" s="5">
        <v>323332</v>
      </c>
      <c r="Q9" s="4">
        <v>0.26200000000000001</v>
      </c>
      <c r="R9" s="4">
        <v>1.0469999999999999</v>
      </c>
      <c r="S9" s="18">
        <v>3.9910000000000001</v>
      </c>
      <c r="T9" s="10">
        <v>800415</v>
      </c>
      <c r="U9" s="10">
        <v>87482</v>
      </c>
      <c r="V9" s="11">
        <v>0.109</v>
      </c>
      <c r="W9" s="12">
        <f>IF(raceday_22_23[[#This Row],[Last Year Turnover]]=0, "No Corresponding PY Meeting", (raceday_22_23[[#This Row],[Betcha Inc. TO]]-raceday_22_23[[#This Row],[Last Year Turnover]])/raceday_22_23[[#This Row],[Last Year Turnover]])</f>
        <v>-1.4021061699244839E-2</v>
      </c>
      <c r="X9" s="3">
        <f>MONTH(raceday_22_23[[#This Row],[Raceday Date]])</f>
        <v>8</v>
      </c>
      <c r="Y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9" s="3" t="str">
        <f>raceday_22_23[[#This Row],[Raceday Date]]&amp;raceday_22_23[[#This Row],[Club]]</f>
        <v>45513NZ Metropolitan Trotting Club Inc</v>
      </c>
      <c r="AA9" s="5">
        <f>0.03*raceday_22_23[[#This Row],[Export TO (AUD)]]</f>
        <v>9699.9599999999991</v>
      </c>
      <c r="AB9" s="5">
        <f>_xlfn.XLOOKUP(raceday_22_23[[#This Row],[Helper]],'Betcha Integrated'!A:A,'Betcha Integrated'!F:F, 0)</f>
        <v>789192.33189999894</v>
      </c>
      <c r="AC9" s="5">
        <f>_xlfn.XLOOKUP(raceday_22_23[[#This Row],[Helper]],'Betcha Integrated'!A:A,'Betcha Integrated'!G:G, 0)</f>
        <v>210513.3673499999</v>
      </c>
      <c r="AD9" s="5">
        <f>raceday_22_23[[#This Row],[Export Earned]]+raceday_22_23[[#This Row],[Betcha Inc. GBR]]</f>
        <v>220213.32734999989</v>
      </c>
      <c r="AE9" s="88">
        <f>ROUND(raceday_22_23[[#This Row],[Fav. Win %]]*raceday_22_23[[#This Row],[Races]], 0)</f>
        <v>3</v>
      </c>
    </row>
    <row r="10" spans="1:31" x14ac:dyDescent="0.3">
      <c r="A10" s="8">
        <v>45515</v>
      </c>
      <c r="B10" s="3" t="s">
        <v>82</v>
      </c>
      <c r="C10" s="3" t="s">
        <v>86</v>
      </c>
      <c r="D10" s="3" t="s">
        <v>81</v>
      </c>
      <c r="E10" s="3">
        <v>8</v>
      </c>
      <c r="F10" s="3">
        <v>75</v>
      </c>
      <c r="G10" s="3">
        <v>9.4</v>
      </c>
      <c r="H10" s="4">
        <v>0.25</v>
      </c>
      <c r="I10" s="5">
        <v>80115</v>
      </c>
      <c r="J10" s="5">
        <v>10014</v>
      </c>
      <c r="K10" s="4">
        <v>0.90600000000000003</v>
      </c>
      <c r="L10" s="4">
        <v>0.25</v>
      </c>
      <c r="M10" s="5">
        <v>572774</v>
      </c>
      <c r="N10" s="5">
        <v>72612</v>
      </c>
      <c r="O10" s="5">
        <v>109800.24</v>
      </c>
      <c r="P10" s="5">
        <v>191343</v>
      </c>
      <c r="Q10" s="4">
        <v>0.127</v>
      </c>
      <c r="R10" s="4">
        <v>0.66100000000000003</v>
      </c>
      <c r="S10" s="18">
        <v>5.2169999999999996</v>
      </c>
      <c r="T10" s="10">
        <v>818411</v>
      </c>
      <c r="U10" s="10">
        <v>188685</v>
      </c>
      <c r="V10" s="11">
        <v>0.23100000000000001</v>
      </c>
      <c r="W10" s="12">
        <f>IF(raceday_22_23[[#This Row],[Last Year Turnover]]=0, "No Corresponding PY Meeting", (raceday_22_23[[#This Row],[Betcha Inc. TO]]-raceday_22_23[[#This Row],[Last Year Turnover]])/raceday_22_23[[#This Row],[Last Year Turnover]])</f>
        <v>-0.28394605008974705</v>
      </c>
      <c r="X10" s="3">
        <f>MONTH(raceday_22_23[[#This Row],[Raceday Date]])</f>
        <v>8</v>
      </c>
      <c r="Y1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0" s="3" t="str">
        <f>raceday_22_23[[#This Row],[Raceday Date]]&amp;raceday_22_23[[#This Row],[Club]]</f>
        <v>45515Ashburton Trotting Club Inc</v>
      </c>
      <c r="AA10" s="5">
        <f>0.03*raceday_22_23[[#This Row],[Export TO (AUD)]]</f>
        <v>5740.29</v>
      </c>
      <c r="AB10" s="5">
        <f>_xlfn.XLOOKUP(raceday_22_23[[#This Row],[Helper]],'Betcha Integrated'!A:A,'Betcha Integrated'!F:F, 0)</f>
        <v>586026.42920000001</v>
      </c>
      <c r="AC10" s="5">
        <f>_xlfn.XLOOKUP(raceday_22_23[[#This Row],[Helper]],'Betcha Integrated'!A:A,'Betcha Integrated'!G:G, 0)</f>
        <v>71495.557100000005</v>
      </c>
      <c r="AD10" s="5">
        <f>raceday_22_23[[#This Row],[Export Earned]]+raceday_22_23[[#This Row],[Betcha Inc. GBR]]</f>
        <v>77235.847099999999</v>
      </c>
      <c r="AE10" s="88">
        <f>ROUND(raceday_22_23[[#This Row],[Fav. Win %]]*raceday_22_23[[#This Row],[Races]], 0)</f>
        <v>2</v>
      </c>
    </row>
    <row r="11" spans="1:31" x14ac:dyDescent="0.3">
      <c r="A11" s="8">
        <v>45517</v>
      </c>
      <c r="B11" s="3" t="s">
        <v>83</v>
      </c>
      <c r="C11" s="3" t="s">
        <v>84</v>
      </c>
      <c r="D11" s="3" t="s">
        <v>79</v>
      </c>
      <c r="E11" s="3">
        <v>7</v>
      </c>
      <c r="F11" s="3">
        <v>45</v>
      </c>
      <c r="G11" s="3">
        <v>6.4</v>
      </c>
      <c r="H11" s="4">
        <v>0.42899999999999999</v>
      </c>
      <c r="I11" s="5">
        <v>50540</v>
      </c>
      <c r="J11" s="5">
        <v>7220</v>
      </c>
      <c r="K11" s="4">
        <v>1.0089999999999999</v>
      </c>
      <c r="L11" s="4">
        <v>0</v>
      </c>
      <c r="M11" s="5">
        <v>221510</v>
      </c>
      <c r="N11" s="5">
        <v>51004</v>
      </c>
      <c r="O11" s="5">
        <v>75831.240000000005</v>
      </c>
      <c r="P11" s="5">
        <v>206999</v>
      </c>
      <c r="Q11" s="4">
        <v>0.23</v>
      </c>
      <c r="R11" s="4">
        <v>0.67300000000000004</v>
      </c>
      <c r="S11" s="18">
        <v>2.9209999999999998</v>
      </c>
      <c r="T11" s="10">
        <v>0</v>
      </c>
      <c r="U11" s="10">
        <v>0</v>
      </c>
      <c r="V11" s="11">
        <v>0</v>
      </c>
      <c r="W11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1" s="3">
        <f>MONTH(raceday_22_23[[#This Row],[Raceday Date]])</f>
        <v>8</v>
      </c>
      <c r="Y1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1" s="3" t="str">
        <f>raceday_22_23[[#This Row],[Raceday Date]]&amp;raceday_22_23[[#This Row],[Club]]</f>
        <v>45517Waikato Bay of Plenty Harness Inc</v>
      </c>
      <c r="AA11" s="5">
        <f>0.03*raceday_22_23[[#This Row],[Export TO (AUD)]]</f>
        <v>6209.9699999999993</v>
      </c>
      <c r="AB11" s="5">
        <f>_xlfn.XLOOKUP(raceday_22_23[[#This Row],[Helper]],'Betcha Integrated'!A:A,'Betcha Integrated'!F:F, 0)</f>
        <v>228467.2030999999</v>
      </c>
      <c r="AC11" s="5">
        <f>_xlfn.XLOOKUP(raceday_22_23[[#This Row],[Helper]],'Betcha Integrated'!A:A,'Betcha Integrated'!G:G, 0)</f>
        <v>51272.991699999897</v>
      </c>
      <c r="AD11" s="5">
        <f>raceday_22_23[[#This Row],[Export Earned]]+raceday_22_23[[#This Row],[Betcha Inc. GBR]]</f>
        <v>57482.961699999898</v>
      </c>
      <c r="AE11" s="88">
        <f>ROUND(raceday_22_23[[#This Row],[Fav. Win %]]*raceday_22_23[[#This Row],[Races]], 0)</f>
        <v>3</v>
      </c>
    </row>
    <row r="12" spans="1:31" x14ac:dyDescent="0.3">
      <c r="A12" s="8">
        <v>45520</v>
      </c>
      <c r="B12" s="3" t="s">
        <v>77</v>
      </c>
      <c r="C12" s="3" t="s">
        <v>78</v>
      </c>
      <c r="D12" s="3" t="s">
        <v>79</v>
      </c>
      <c r="E12" s="3">
        <v>8</v>
      </c>
      <c r="F12" s="3">
        <v>62</v>
      </c>
      <c r="G12" s="3">
        <v>7.8</v>
      </c>
      <c r="H12" s="4">
        <v>0.375</v>
      </c>
      <c r="I12" s="5">
        <v>119462</v>
      </c>
      <c r="J12" s="5">
        <v>14933</v>
      </c>
      <c r="K12" s="4">
        <v>0.501</v>
      </c>
      <c r="L12" s="4">
        <v>0.125</v>
      </c>
      <c r="M12" s="5">
        <v>491474</v>
      </c>
      <c r="N12" s="5">
        <v>59812</v>
      </c>
      <c r="O12" s="5">
        <v>145763.13</v>
      </c>
      <c r="P12" s="5">
        <v>253063</v>
      </c>
      <c r="Q12" s="4">
        <v>0.122</v>
      </c>
      <c r="R12" s="4">
        <v>0.41</v>
      </c>
      <c r="S12" s="18">
        <v>3.3719999999999999</v>
      </c>
      <c r="T12" s="10">
        <v>580961</v>
      </c>
      <c r="U12" s="10">
        <v>137781</v>
      </c>
      <c r="V12" s="11">
        <v>0.23699999999999999</v>
      </c>
      <c r="W12" s="12">
        <f>IF(raceday_22_23[[#This Row],[Last Year Turnover]]=0, "No Corresponding PY Meeting", (raceday_22_23[[#This Row],[Betcha Inc. TO]]-raceday_22_23[[#This Row],[Last Year Turnover]])/raceday_22_23[[#This Row],[Last Year Turnover]])</f>
        <v>-0.12382678871731669</v>
      </c>
      <c r="X12" s="3">
        <f>MONTH(raceday_22_23[[#This Row],[Raceday Date]])</f>
        <v>8</v>
      </c>
      <c r="Y1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2" s="3" t="str">
        <f>raceday_22_23[[#This Row],[Raceday Date]]&amp;raceday_22_23[[#This Row],[Club]]</f>
        <v>45520Auckland Trotting Club Inc</v>
      </c>
      <c r="AA12" s="5">
        <f>0.03*raceday_22_23[[#This Row],[Export TO (AUD)]]</f>
        <v>7591.8899999999994</v>
      </c>
      <c r="AB12" s="5">
        <f>_xlfn.XLOOKUP(raceday_22_23[[#This Row],[Helper]],'Betcha Integrated'!A:A,'Betcha Integrated'!F:F, 0)</f>
        <v>509022.46499999898</v>
      </c>
      <c r="AC12" s="5">
        <f>_xlfn.XLOOKUP(raceday_22_23[[#This Row],[Helper]],'Betcha Integrated'!A:A,'Betcha Integrated'!G:G, 0)</f>
        <v>62444.790999999903</v>
      </c>
      <c r="AD12" s="5">
        <f>raceday_22_23[[#This Row],[Export Earned]]+raceday_22_23[[#This Row],[Betcha Inc. GBR]]</f>
        <v>70036.680999999895</v>
      </c>
      <c r="AE12" s="88">
        <f>ROUND(raceday_22_23[[#This Row],[Fav. Win %]]*raceday_22_23[[#This Row],[Races]], 0)</f>
        <v>3</v>
      </c>
    </row>
    <row r="13" spans="1:31" x14ac:dyDescent="0.3">
      <c r="A13" s="8">
        <v>45520</v>
      </c>
      <c r="B13" s="3" t="s">
        <v>77</v>
      </c>
      <c r="C13" s="3" t="s">
        <v>80</v>
      </c>
      <c r="D13" s="3" t="s">
        <v>81</v>
      </c>
      <c r="E13" s="3">
        <v>10</v>
      </c>
      <c r="F13" s="3">
        <v>88</v>
      </c>
      <c r="G13" s="3">
        <v>8.8000000000000007</v>
      </c>
      <c r="H13" s="4">
        <v>0.4</v>
      </c>
      <c r="I13" s="5">
        <v>139232</v>
      </c>
      <c r="J13" s="5">
        <v>13923</v>
      </c>
      <c r="K13" s="4">
        <v>1.61</v>
      </c>
      <c r="L13" s="4">
        <v>0</v>
      </c>
      <c r="M13" s="5">
        <v>832438</v>
      </c>
      <c r="N13" s="5">
        <v>224103</v>
      </c>
      <c r="O13" s="5">
        <v>176928.17</v>
      </c>
      <c r="P13" s="5">
        <v>321861</v>
      </c>
      <c r="Q13" s="4">
        <v>0.26900000000000002</v>
      </c>
      <c r="R13" s="4">
        <v>1.2669999999999999</v>
      </c>
      <c r="S13" s="18">
        <v>4.7050000000000001</v>
      </c>
      <c r="T13" s="10">
        <v>869712</v>
      </c>
      <c r="U13" s="10">
        <v>225097</v>
      </c>
      <c r="V13" s="11">
        <v>0.25900000000000001</v>
      </c>
      <c r="W13" s="12">
        <f>IF(raceday_22_23[[#This Row],[Last Year Turnover]]=0, "No Corresponding PY Meeting", (raceday_22_23[[#This Row],[Betcha Inc. TO]]-raceday_22_23[[#This Row],[Last Year Turnover]])/raceday_22_23[[#This Row],[Last Year Turnover]])</f>
        <v>-5.9104136771713526E-3</v>
      </c>
      <c r="X13" s="3">
        <f>MONTH(raceday_22_23[[#This Row],[Raceday Date]])</f>
        <v>8</v>
      </c>
      <c r="Y1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3" s="3" t="str">
        <f>raceday_22_23[[#This Row],[Raceday Date]]&amp;raceday_22_23[[#This Row],[Club]]</f>
        <v>45520NZ Metropolitan Trotting Club Inc</v>
      </c>
      <c r="AA13" s="5">
        <f>0.03*raceday_22_23[[#This Row],[Export TO (AUD)]]</f>
        <v>9655.83</v>
      </c>
      <c r="AB13" s="5">
        <f>_xlfn.XLOOKUP(raceday_22_23[[#This Row],[Helper]],'Betcha Integrated'!A:A,'Betcha Integrated'!F:F, 0)</f>
        <v>864571.64229999995</v>
      </c>
      <c r="AC13" s="5">
        <f>_xlfn.XLOOKUP(raceday_22_23[[#This Row],[Helper]],'Betcha Integrated'!A:A,'Betcha Integrated'!G:G, 0)</f>
        <v>236924.94399999999</v>
      </c>
      <c r="AD13" s="5">
        <f>raceday_22_23[[#This Row],[Export Earned]]+raceday_22_23[[#This Row],[Betcha Inc. GBR]]</f>
        <v>246580.77399999998</v>
      </c>
      <c r="AE13" s="88">
        <f>ROUND(raceday_22_23[[#This Row],[Fav. Win %]]*raceday_22_23[[#This Row],[Races]], 0)</f>
        <v>4</v>
      </c>
    </row>
    <row r="14" spans="1:31" x14ac:dyDescent="0.3">
      <c r="A14" s="8">
        <v>45522</v>
      </c>
      <c r="B14" s="3" t="s">
        <v>82</v>
      </c>
      <c r="C14" s="3" t="s">
        <v>87</v>
      </c>
      <c r="D14" s="3" t="s">
        <v>76</v>
      </c>
      <c r="E14" s="3">
        <v>10</v>
      </c>
      <c r="F14" s="3">
        <v>92</v>
      </c>
      <c r="G14" s="3">
        <v>9.1999999999999993</v>
      </c>
      <c r="H14" s="4">
        <v>0.3</v>
      </c>
      <c r="I14" s="5">
        <v>124905</v>
      </c>
      <c r="J14" s="5">
        <v>12490</v>
      </c>
      <c r="K14" s="4">
        <v>1.2490000000000001</v>
      </c>
      <c r="L14" s="4">
        <v>0.1</v>
      </c>
      <c r="M14" s="5">
        <v>777951</v>
      </c>
      <c r="N14" s="5">
        <v>170439</v>
      </c>
      <c r="O14" s="5">
        <v>142126.24</v>
      </c>
      <c r="P14" s="5">
        <v>176347</v>
      </c>
      <c r="Q14" s="4">
        <v>0.219</v>
      </c>
      <c r="R14" s="4">
        <v>1.1990000000000001</v>
      </c>
      <c r="S14" s="18">
        <v>5.4740000000000002</v>
      </c>
      <c r="T14" s="10">
        <v>905605</v>
      </c>
      <c r="U14" s="10">
        <v>189527</v>
      </c>
      <c r="V14" s="11">
        <v>0.20899999999999999</v>
      </c>
      <c r="W14" s="12">
        <f>IF(raceday_22_23[[#This Row],[Last Year Turnover]]=0, "No Corresponding PY Meeting", (raceday_22_23[[#This Row],[Betcha Inc. TO]]-raceday_22_23[[#This Row],[Last Year Turnover]])/raceday_22_23[[#This Row],[Last Year Turnover]])</f>
        <v>-0.12297397463574188</v>
      </c>
      <c r="X14" s="3">
        <f>MONTH(raceday_22_23[[#This Row],[Raceday Date]])</f>
        <v>8</v>
      </c>
      <c r="Y1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4" s="3" t="str">
        <f>raceday_22_23[[#This Row],[Raceday Date]]&amp;raceday_22_23[[#This Row],[Club]]</f>
        <v>45522Kurow Harness Racing Club Inc</v>
      </c>
      <c r="AA14" s="5">
        <f>0.03*raceday_22_23[[#This Row],[Export TO (AUD)]]</f>
        <v>5290.41</v>
      </c>
      <c r="AB14" s="5">
        <f>_xlfn.XLOOKUP(raceday_22_23[[#This Row],[Helper]],'Betcha Integrated'!A:A,'Betcha Integrated'!F:F, 0)</f>
        <v>794239.15369999898</v>
      </c>
      <c r="AC14" s="5">
        <f>_xlfn.XLOOKUP(raceday_22_23[[#This Row],[Helper]],'Betcha Integrated'!A:A,'Betcha Integrated'!G:G, 0)</f>
        <v>173828.5236499999</v>
      </c>
      <c r="AD14" s="5">
        <f>raceday_22_23[[#This Row],[Export Earned]]+raceday_22_23[[#This Row],[Betcha Inc. GBR]]</f>
        <v>179118.9336499999</v>
      </c>
      <c r="AE14" s="88">
        <f>ROUND(raceday_22_23[[#This Row],[Fav. Win %]]*raceday_22_23[[#This Row],[Races]], 0)</f>
        <v>3</v>
      </c>
    </row>
    <row r="15" spans="1:31" x14ac:dyDescent="0.3">
      <c r="A15" s="8">
        <v>45524</v>
      </c>
      <c r="B15" s="3" t="s">
        <v>83</v>
      </c>
      <c r="C15" s="3" t="s">
        <v>84</v>
      </c>
      <c r="D15" s="3" t="s">
        <v>79</v>
      </c>
      <c r="E15" s="3">
        <v>7</v>
      </c>
      <c r="F15" s="3">
        <v>50</v>
      </c>
      <c r="G15" s="3">
        <v>7.1</v>
      </c>
      <c r="H15" s="4">
        <v>0.42899999999999999</v>
      </c>
      <c r="I15" s="5">
        <v>51240</v>
      </c>
      <c r="J15" s="5">
        <v>7320</v>
      </c>
      <c r="K15" s="4">
        <v>1.085</v>
      </c>
      <c r="L15" s="4">
        <v>0.57099999999999995</v>
      </c>
      <c r="M15" s="5">
        <v>273381</v>
      </c>
      <c r="N15" s="5">
        <v>55589</v>
      </c>
      <c r="O15" s="5">
        <v>76636.240000000005</v>
      </c>
      <c r="P15" s="5">
        <v>216363</v>
      </c>
      <c r="Q15" s="4">
        <v>0.20300000000000001</v>
      </c>
      <c r="R15" s="4">
        <v>0.72499999999999998</v>
      </c>
      <c r="S15" s="18">
        <v>3.5670000000000002</v>
      </c>
      <c r="T15" s="10">
        <v>0</v>
      </c>
      <c r="U15" s="10">
        <v>0</v>
      </c>
      <c r="V15" s="11">
        <v>0</v>
      </c>
      <c r="W1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5" s="3">
        <f>MONTH(raceday_22_23[[#This Row],[Raceday Date]])</f>
        <v>8</v>
      </c>
      <c r="Y1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5" s="3" t="str">
        <f>raceday_22_23[[#This Row],[Raceday Date]]&amp;raceday_22_23[[#This Row],[Club]]</f>
        <v>45524Waikato Bay of Plenty Harness Inc</v>
      </c>
      <c r="AA15" s="5">
        <f>0.03*raceday_22_23[[#This Row],[Export TO (AUD)]]</f>
        <v>6490.8899999999994</v>
      </c>
      <c r="AB15" s="5">
        <f>_xlfn.XLOOKUP(raceday_22_23[[#This Row],[Helper]],'Betcha Integrated'!A:A,'Betcha Integrated'!F:F, 0)</f>
        <v>279627.22049999901</v>
      </c>
      <c r="AC15" s="5">
        <f>_xlfn.XLOOKUP(raceday_22_23[[#This Row],[Helper]],'Betcha Integrated'!A:A,'Betcha Integrated'!G:G, 0)</f>
        <v>56533.826749999906</v>
      </c>
      <c r="AD15" s="5">
        <f>raceday_22_23[[#This Row],[Export Earned]]+raceday_22_23[[#This Row],[Betcha Inc. GBR]]</f>
        <v>63024.716749999905</v>
      </c>
      <c r="AE15" s="88">
        <f>ROUND(raceday_22_23[[#This Row],[Fav. Win %]]*raceday_22_23[[#This Row],[Races]], 0)</f>
        <v>3</v>
      </c>
    </row>
    <row r="16" spans="1:31" x14ac:dyDescent="0.3">
      <c r="A16" s="8">
        <v>45526</v>
      </c>
      <c r="B16" s="3" t="s">
        <v>74</v>
      </c>
      <c r="C16" s="3" t="s">
        <v>88</v>
      </c>
      <c r="D16" s="3" t="s">
        <v>76</v>
      </c>
      <c r="E16" s="3">
        <v>7</v>
      </c>
      <c r="F16" s="3">
        <v>60</v>
      </c>
      <c r="G16" s="3">
        <v>8.6</v>
      </c>
      <c r="H16" s="4">
        <v>0.28599999999999998</v>
      </c>
      <c r="I16" s="5">
        <v>77012</v>
      </c>
      <c r="J16" s="5">
        <v>11002</v>
      </c>
      <c r="K16" s="4">
        <v>0.371</v>
      </c>
      <c r="L16" s="4">
        <v>0</v>
      </c>
      <c r="M16" s="5">
        <v>349205</v>
      </c>
      <c r="N16" s="5">
        <v>28583</v>
      </c>
      <c r="O16" s="5">
        <v>107699.5</v>
      </c>
      <c r="P16" s="5">
        <v>109687</v>
      </c>
      <c r="Q16" s="4">
        <v>8.2000000000000003E-2</v>
      </c>
      <c r="R16" s="4">
        <v>0.26500000000000001</v>
      </c>
      <c r="S16" s="18">
        <v>3.242</v>
      </c>
      <c r="T16" s="10">
        <v>421878</v>
      </c>
      <c r="U16" s="10">
        <v>32896</v>
      </c>
      <c r="V16" s="11">
        <v>7.8E-2</v>
      </c>
      <c r="W16" s="12">
        <f>IF(raceday_22_23[[#This Row],[Last Year Turnover]]=0, "No Corresponding PY Meeting", (raceday_22_23[[#This Row],[Betcha Inc. TO]]-raceday_22_23[[#This Row],[Last Year Turnover]])/raceday_22_23[[#This Row],[Last Year Turnover]])</f>
        <v>-0.15541067986479504</v>
      </c>
      <c r="X16" s="3">
        <f>MONTH(raceday_22_23[[#This Row],[Raceday Date]])</f>
        <v>8</v>
      </c>
      <c r="Y1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6" s="3" t="str">
        <f>raceday_22_23[[#This Row],[Raceday Date]]&amp;raceday_22_23[[#This Row],[Club]]</f>
        <v>45526Gore Harness Racing Club Inc</v>
      </c>
      <c r="AA16" s="5">
        <f>0.03*raceday_22_23[[#This Row],[Export TO (AUD)]]</f>
        <v>3290.6099999999997</v>
      </c>
      <c r="AB16" s="5">
        <f>_xlfn.XLOOKUP(raceday_22_23[[#This Row],[Helper]],'Betcha Integrated'!A:A,'Betcha Integrated'!F:F, 0)</f>
        <v>356313.6532</v>
      </c>
      <c r="AC16" s="5">
        <f>_xlfn.XLOOKUP(raceday_22_23[[#This Row],[Helper]],'Betcha Integrated'!A:A,'Betcha Integrated'!G:G, 0)</f>
        <v>30164.428</v>
      </c>
      <c r="AD16" s="5">
        <f>raceday_22_23[[#This Row],[Export Earned]]+raceday_22_23[[#This Row],[Betcha Inc. GBR]]</f>
        <v>33455.038</v>
      </c>
      <c r="AE16" s="88">
        <f>ROUND(raceday_22_23[[#This Row],[Fav. Win %]]*raceday_22_23[[#This Row],[Races]], 0)</f>
        <v>2</v>
      </c>
    </row>
    <row r="17" spans="1:31" x14ac:dyDescent="0.3">
      <c r="A17" s="8">
        <v>45527</v>
      </c>
      <c r="B17" s="3" t="s">
        <v>77</v>
      </c>
      <c r="C17" s="3" t="s">
        <v>78</v>
      </c>
      <c r="D17" s="3" t="s">
        <v>79</v>
      </c>
      <c r="E17" s="3">
        <v>9</v>
      </c>
      <c r="F17" s="3">
        <v>65</v>
      </c>
      <c r="G17" s="3">
        <v>7.2</v>
      </c>
      <c r="H17" s="4">
        <v>0.222</v>
      </c>
      <c r="I17" s="5">
        <v>138207</v>
      </c>
      <c r="J17" s="5">
        <v>15356</v>
      </c>
      <c r="K17" s="4">
        <v>-0.22800000000000001</v>
      </c>
      <c r="L17" s="4">
        <v>0</v>
      </c>
      <c r="M17" s="5">
        <v>481689</v>
      </c>
      <c r="N17" s="5">
        <v>-31572</v>
      </c>
      <c r="O17" s="5">
        <v>164613.13</v>
      </c>
      <c r="P17" s="5">
        <v>254850</v>
      </c>
      <c r="Q17" s="4">
        <v>-6.6000000000000003E-2</v>
      </c>
      <c r="R17" s="4">
        <v>-0.192</v>
      </c>
      <c r="S17" s="18">
        <v>2.9260000000000002</v>
      </c>
      <c r="T17" s="10">
        <v>0</v>
      </c>
      <c r="U17" s="10">
        <v>0</v>
      </c>
      <c r="V17" s="11">
        <v>0</v>
      </c>
      <c r="W1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7" s="3">
        <f>MONTH(raceday_22_23[[#This Row],[Raceday Date]])</f>
        <v>8</v>
      </c>
      <c r="Y1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7" s="3" t="str">
        <f>raceday_22_23[[#This Row],[Raceday Date]]&amp;raceday_22_23[[#This Row],[Club]]</f>
        <v>45527Auckland Trotting Club Inc</v>
      </c>
      <c r="AA17" s="5">
        <f>0.03*raceday_22_23[[#This Row],[Export TO (AUD)]]</f>
        <v>7645.5</v>
      </c>
      <c r="AB17" s="5">
        <f>_xlfn.XLOOKUP(raceday_22_23[[#This Row],[Helper]],'Betcha Integrated'!A:A,'Betcha Integrated'!F:F, 0)</f>
        <v>498679.08730000001</v>
      </c>
      <c r="AC17" s="5">
        <f>_xlfn.XLOOKUP(raceday_22_23[[#This Row],[Helper]],'Betcha Integrated'!A:A,'Betcha Integrated'!G:G, 0)</f>
        <v>-25626.59965</v>
      </c>
      <c r="AD17" s="5">
        <f>raceday_22_23[[#This Row],[Export Earned]]+raceday_22_23[[#This Row],[Betcha Inc. GBR]]</f>
        <v>-17981.09965</v>
      </c>
      <c r="AE17" s="88">
        <f>ROUND(raceday_22_23[[#This Row],[Fav. Win %]]*raceday_22_23[[#This Row],[Races]], 0)</f>
        <v>2</v>
      </c>
    </row>
    <row r="18" spans="1:31" x14ac:dyDescent="0.3">
      <c r="A18" s="8">
        <v>45527</v>
      </c>
      <c r="B18" s="3" t="s">
        <v>77</v>
      </c>
      <c r="C18" s="3" t="s">
        <v>80</v>
      </c>
      <c r="D18" s="3" t="s">
        <v>81</v>
      </c>
      <c r="E18" s="3">
        <v>10</v>
      </c>
      <c r="F18" s="3">
        <v>101</v>
      </c>
      <c r="G18" s="3">
        <v>10.1</v>
      </c>
      <c r="H18" s="4">
        <v>0.2</v>
      </c>
      <c r="I18" s="5">
        <v>187650</v>
      </c>
      <c r="J18" s="5">
        <v>18765</v>
      </c>
      <c r="K18" s="4">
        <v>0.14599999999999999</v>
      </c>
      <c r="L18" s="4">
        <v>0.1</v>
      </c>
      <c r="M18" s="5">
        <v>893430</v>
      </c>
      <c r="N18" s="5">
        <v>27474</v>
      </c>
      <c r="O18" s="5">
        <v>225609.42</v>
      </c>
      <c r="P18" s="5">
        <v>275318</v>
      </c>
      <c r="Q18" s="4">
        <v>3.1E-2</v>
      </c>
      <c r="R18" s="4">
        <v>0.122</v>
      </c>
      <c r="S18" s="18">
        <v>3.96</v>
      </c>
      <c r="T18" s="10">
        <v>945503</v>
      </c>
      <c r="U18" s="10">
        <v>221339</v>
      </c>
      <c r="V18" s="11">
        <v>0.23400000000000001</v>
      </c>
      <c r="W18" s="12">
        <f>IF(raceday_22_23[[#This Row],[Last Year Turnover]]=0, "No Corresponding PY Meeting", (raceday_22_23[[#This Row],[Betcha Inc. TO]]-raceday_22_23[[#This Row],[Last Year Turnover]])/raceday_22_23[[#This Row],[Last Year Turnover]])</f>
        <v>-1.534607621551802E-2</v>
      </c>
      <c r="X18" s="3">
        <f>MONTH(raceday_22_23[[#This Row],[Raceday Date]])</f>
        <v>8</v>
      </c>
      <c r="Y1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8" s="3" t="str">
        <f>raceday_22_23[[#This Row],[Raceday Date]]&amp;raceday_22_23[[#This Row],[Club]]</f>
        <v>45527NZ Metropolitan Trotting Club Inc</v>
      </c>
      <c r="AA18" s="5">
        <f>0.03*raceday_22_23[[#This Row],[Export TO (AUD)]]</f>
        <v>8259.5399999999991</v>
      </c>
      <c r="AB18" s="5">
        <f>_xlfn.XLOOKUP(raceday_22_23[[#This Row],[Helper]],'Betcha Integrated'!A:A,'Betcha Integrated'!F:F, 0)</f>
        <v>930993.23889999907</v>
      </c>
      <c r="AC18" s="5">
        <f>_xlfn.XLOOKUP(raceday_22_23[[#This Row],[Helper]],'Betcha Integrated'!A:A,'Betcha Integrated'!G:G, 0)</f>
        <v>43997.683749999902</v>
      </c>
      <c r="AD18" s="5">
        <f>raceday_22_23[[#This Row],[Export Earned]]+raceday_22_23[[#This Row],[Betcha Inc. GBR]]</f>
        <v>52257.223749999903</v>
      </c>
      <c r="AE18" s="88">
        <f>ROUND(raceday_22_23[[#This Row],[Fav. Win %]]*raceday_22_23[[#This Row],[Races]], 0)</f>
        <v>2</v>
      </c>
    </row>
    <row r="19" spans="1:31" x14ac:dyDescent="0.3">
      <c r="A19" s="8">
        <v>45529</v>
      </c>
      <c r="B19" s="3" t="s">
        <v>82</v>
      </c>
      <c r="C19" s="3" t="s">
        <v>89</v>
      </c>
      <c r="D19" s="3" t="s">
        <v>81</v>
      </c>
      <c r="E19" s="3">
        <v>11</v>
      </c>
      <c r="F19" s="3">
        <v>102</v>
      </c>
      <c r="G19" s="3">
        <v>9.3000000000000007</v>
      </c>
      <c r="H19" s="4">
        <v>0.36399999999999999</v>
      </c>
      <c r="I19" s="5">
        <v>110978</v>
      </c>
      <c r="J19" s="5">
        <v>10089</v>
      </c>
      <c r="K19" s="4">
        <v>0.97199999999999998</v>
      </c>
      <c r="L19" s="4">
        <v>9.0999999999999998E-2</v>
      </c>
      <c r="M19" s="5">
        <v>742559</v>
      </c>
      <c r="N19" s="5">
        <v>107888</v>
      </c>
      <c r="O19" s="5">
        <v>143760.75</v>
      </c>
      <c r="P19" s="5">
        <v>172534</v>
      </c>
      <c r="Q19" s="4">
        <v>0.14499999999999999</v>
      </c>
      <c r="R19" s="4">
        <v>0.75</v>
      </c>
      <c r="S19" s="18">
        <v>5.165</v>
      </c>
      <c r="T19" s="10">
        <v>786047</v>
      </c>
      <c r="U19" s="10">
        <v>194159</v>
      </c>
      <c r="V19" s="11">
        <v>0.247</v>
      </c>
      <c r="W19" s="12">
        <f>IF(raceday_22_23[[#This Row],[Last Year Turnover]]=0, "No Corresponding PY Meeting", (raceday_22_23[[#This Row],[Betcha Inc. TO]]-raceday_22_23[[#This Row],[Last Year Turnover]])/raceday_22_23[[#This Row],[Last Year Turnover]])</f>
        <v>-2.9518421290329971E-2</v>
      </c>
      <c r="X19" s="3">
        <f>MONTH(raceday_22_23[[#This Row],[Raceday Date]])</f>
        <v>8</v>
      </c>
      <c r="Y1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19" s="3" t="str">
        <f>raceday_22_23[[#This Row],[Raceday Date]]&amp;raceday_22_23[[#This Row],[Club]]</f>
        <v>45529Rangiora Harness Racing Club Inc</v>
      </c>
      <c r="AA19" s="5">
        <f>0.03*raceday_22_23[[#This Row],[Export TO (AUD)]]</f>
        <v>5176.0199999999995</v>
      </c>
      <c r="AB19" s="5">
        <f>_xlfn.XLOOKUP(raceday_22_23[[#This Row],[Helper]],'Betcha Integrated'!A:A,'Betcha Integrated'!F:F, 0)</f>
        <v>762844.1335</v>
      </c>
      <c r="AC19" s="5">
        <f>_xlfn.XLOOKUP(raceday_22_23[[#This Row],[Helper]],'Betcha Integrated'!A:A,'Betcha Integrated'!G:G, 0)</f>
        <v>114063.3143</v>
      </c>
      <c r="AD19" s="5">
        <f>raceday_22_23[[#This Row],[Export Earned]]+raceday_22_23[[#This Row],[Betcha Inc. GBR]]</f>
        <v>119239.3343</v>
      </c>
      <c r="AE19" s="88">
        <f>ROUND(raceday_22_23[[#This Row],[Fav. Win %]]*raceday_22_23[[#This Row],[Races]], 0)</f>
        <v>4</v>
      </c>
    </row>
    <row r="20" spans="1:31" x14ac:dyDescent="0.3">
      <c r="A20" s="8">
        <v>45531</v>
      </c>
      <c r="B20" s="3" t="s">
        <v>83</v>
      </c>
      <c r="C20" s="3" t="s">
        <v>84</v>
      </c>
      <c r="D20" s="3" t="s">
        <v>79</v>
      </c>
      <c r="E20" s="3">
        <v>7</v>
      </c>
      <c r="F20" s="3">
        <v>59</v>
      </c>
      <c r="G20" s="3">
        <v>8.4</v>
      </c>
      <c r="H20" s="4">
        <v>0.42899999999999999</v>
      </c>
      <c r="I20" s="5">
        <v>52500</v>
      </c>
      <c r="J20" s="5">
        <v>7500</v>
      </c>
      <c r="K20" s="4">
        <v>0.83699999999999997</v>
      </c>
      <c r="L20" s="4">
        <v>0</v>
      </c>
      <c r="M20" s="5">
        <v>322340</v>
      </c>
      <c r="N20" s="5">
        <v>43950</v>
      </c>
      <c r="O20" s="5">
        <v>77686.240000000005</v>
      </c>
      <c r="P20" s="5">
        <v>194873</v>
      </c>
      <c r="Q20" s="4">
        <v>0.13600000000000001</v>
      </c>
      <c r="R20" s="4">
        <v>0.56599999999999995</v>
      </c>
      <c r="S20" s="18">
        <v>4.149</v>
      </c>
      <c r="T20" s="10">
        <v>0</v>
      </c>
      <c r="U20" s="10">
        <v>0</v>
      </c>
      <c r="V20" s="11">
        <v>0</v>
      </c>
      <c r="W2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0" s="3">
        <f>MONTH(raceday_22_23[[#This Row],[Raceday Date]])</f>
        <v>8</v>
      </c>
      <c r="Y2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0" s="3" t="str">
        <f>raceday_22_23[[#This Row],[Raceday Date]]&amp;raceday_22_23[[#This Row],[Club]]</f>
        <v>45531Waikato Bay of Plenty Harness Inc</v>
      </c>
      <c r="AA20" s="5">
        <f>0.03*raceday_22_23[[#This Row],[Export TO (AUD)]]</f>
        <v>5846.19</v>
      </c>
      <c r="AB20" s="5">
        <f>_xlfn.XLOOKUP(raceday_22_23[[#This Row],[Helper]],'Betcha Integrated'!A:A,'Betcha Integrated'!F:F, 0)</f>
        <v>328751.85449999897</v>
      </c>
      <c r="AC20" s="5">
        <f>_xlfn.XLOOKUP(raceday_22_23[[#This Row],[Helper]],'Betcha Integrated'!A:A,'Betcha Integrated'!G:G, 0)</f>
        <v>45106.422449999896</v>
      </c>
      <c r="AD20" s="5">
        <f>raceday_22_23[[#This Row],[Export Earned]]+raceday_22_23[[#This Row],[Betcha Inc. GBR]]</f>
        <v>50952.612449999899</v>
      </c>
      <c r="AE20" s="88">
        <f>ROUND(raceday_22_23[[#This Row],[Fav. Win %]]*raceday_22_23[[#This Row],[Races]], 0)</f>
        <v>3</v>
      </c>
    </row>
    <row r="21" spans="1:31" x14ac:dyDescent="0.3">
      <c r="A21" s="8">
        <v>45533</v>
      </c>
      <c r="B21" s="3" t="s">
        <v>74</v>
      </c>
      <c r="C21" s="3" t="s">
        <v>75</v>
      </c>
      <c r="D21" s="3" t="s">
        <v>76</v>
      </c>
      <c r="E21" s="3">
        <v>10</v>
      </c>
      <c r="F21" s="3">
        <v>80</v>
      </c>
      <c r="G21" s="3">
        <v>8</v>
      </c>
      <c r="H21" s="4">
        <v>0.6</v>
      </c>
      <c r="I21" s="5">
        <v>106898</v>
      </c>
      <c r="J21" s="5">
        <v>10690</v>
      </c>
      <c r="K21" s="4">
        <v>0.97499999999999998</v>
      </c>
      <c r="L21" s="4">
        <v>0</v>
      </c>
      <c r="M21" s="5">
        <v>532857</v>
      </c>
      <c r="N21" s="5">
        <v>104182</v>
      </c>
      <c r="O21" s="5">
        <v>128998.34</v>
      </c>
      <c r="P21" s="5">
        <v>352923</v>
      </c>
      <c r="Q21" s="4">
        <v>0.19600000000000001</v>
      </c>
      <c r="R21" s="4">
        <v>0.80800000000000005</v>
      </c>
      <c r="S21" s="18">
        <v>4.1310000000000002</v>
      </c>
      <c r="T21" s="10">
        <v>411996</v>
      </c>
      <c r="U21" s="10">
        <v>37275</v>
      </c>
      <c r="V21" s="11">
        <v>0.09</v>
      </c>
      <c r="W21" s="12">
        <f>IF(raceday_22_23[[#This Row],[Last Year Turnover]]=0, "No Corresponding PY Meeting", (raceday_22_23[[#This Row],[Betcha Inc. TO]]-raceday_22_23[[#This Row],[Last Year Turnover]])/raceday_22_23[[#This Row],[Last Year Turnover]])</f>
        <v>0.32041790551364585</v>
      </c>
      <c r="X21" s="3">
        <f>MONTH(raceday_22_23[[#This Row],[Raceday Date]])</f>
        <v>8</v>
      </c>
      <c r="Y2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1" s="3" t="str">
        <f>raceday_22_23[[#This Row],[Raceday Date]]&amp;raceday_22_23[[#This Row],[Club]]</f>
        <v>45533Winton Harness Racing Club Inc</v>
      </c>
      <c r="AA21" s="5">
        <f>0.03*raceday_22_23[[#This Row],[Export TO (AUD)]]</f>
        <v>10587.69</v>
      </c>
      <c r="AB21" s="5">
        <f>_xlfn.XLOOKUP(raceday_22_23[[#This Row],[Helper]],'Betcha Integrated'!A:A,'Betcha Integrated'!F:F, 0)</f>
        <v>544006.89540000004</v>
      </c>
      <c r="AC21" s="5">
        <f>_xlfn.XLOOKUP(raceday_22_23[[#This Row],[Helper]],'Betcha Integrated'!A:A,'Betcha Integrated'!G:G, 0)</f>
        <v>104242.57865000001</v>
      </c>
      <c r="AD21" s="5">
        <f>raceday_22_23[[#This Row],[Export Earned]]+raceday_22_23[[#This Row],[Betcha Inc. GBR]]</f>
        <v>114830.26865000001</v>
      </c>
      <c r="AE21" s="88">
        <f>ROUND(raceday_22_23[[#This Row],[Fav. Win %]]*raceday_22_23[[#This Row],[Races]], 0)</f>
        <v>6</v>
      </c>
    </row>
    <row r="22" spans="1:31" x14ac:dyDescent="0.3">
      <c r="A22" s="8">
        <v>45534</v>
      </c>
      <c r="B22" s="3" t="s">
        <v>77</v>
      </c>
      <c r="C22" s="3" t="s">
        <v>78</v>
      </c>
      <c r="D22" s="3" t="s">
        <v>79</v>
      </c>
      <c r="E22" s="3">
        <v>8</v>
      </c>
      <c r="F22" s="3">
        <v>64</v>
      </c>
      <c r="G22" s="3">
        <v>8</v>
      </c>
      <c r="H22" s="4">
        <v>0.5</v>
      </c>
      <c r="I22" s="5">
        <v>117897</v>
      </c>
      <c r="J22" s="5">
        <v>14737</v>
      </c>
      <c r="K22" s="4">
        <v>0.51100000000000001</v>
      </c>
      <c r="L22" s="4">
        <v>0.125</v>
      </c>
      <c r="M22" s="5">
        <v>499966</v>
      </c>
      <c r="N22" s="5">
        <v>60245</v>
      </c>
      <c r="O22" s="5">
        <v>147679.38</v>
      </c>
      <c r="P22" s="5">
        <v>145468</v>
      </c>
      <c r="Q22" s="4">
        <v>0.12</v>
      </c>
      <c r="R22" s="4">
        <v>0.40799999999999997</v>
      </c>
      <c r="S22" s="18">
        <v>3.3849999999999998</v>
      </c>
      <c r="T22" s="10">
        <v>0</v>
      </c>
      <c r="U22" s="10">
        <v>0</v>
      </c>
      <c r="V22" s="11">
        <v>0</v>
      </c>
      <c r="W2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2" s="3">
        <f>MONTH(raceday_22_23[[#This Row],[Raceday Date]])</f>
        <v>8</v>
      </c>
      <c r="Y2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2" s="3" t="str">
        <f>raceday_22_23[[#This Row],[Raceday Date]]&amp;raceday_22_23[[#This Row],[Club]]</f>
        <v>45534Auckland Trotting Club Inc</v>
      </c>
      <c r="AA22" s="5">
        <f>0.03*raceday_22_23[[#This Row],[Export TO (AUD)]]</f>
        <v>4364.04</v>
      </c>
      <c r="AB22" s="5">
        <f>_xlfn.XLOOKUP(raceday_22_23[[#This Row],[Helper]],'Betcha Integrated'!A:A,'Betcha Integrated'!F:F, 0)</f>
        <v>528404.92299999902</v>
      </c>
      <c r="AC22" s="5">
        <f>_xlfn.XLOOKUP(raceday_22_23[[#This Row],[Helper]],'Betcha Integrated'!A:A,'Betcha Integrated'!G:G, 0)</f>
        <v>56812.042749999906</v>
      </c>
      <c r="AD22" s="5">
        <f>raceday_22_23[[#This Row],[Export Earned]]+raceday_22_23[[#This Row],[Betcha Inc. GBR]]</f>
        <v>61176.082749999907</v>
      </c>
      <c r="AE22" s="88">
        <f>ROUND(raceday_22_23[[#This Row],[Fav. Win %]]*raceday_22_23[[#This Row],[Races]], 0)</f>
        <v>4</v>
      </c>
    </row>
    <row r="23" spans="1:31" x14ac:dyDescent="0.3">
      <c r="A23" s="8">
        <v>45534</v>
      </c>
      <c r="B23" s="3" t="s">
        <v>77</v>
      </c>
      <c r="C23" s="3" t="s">
        <v>80</v>
      </c>
      <c r="D23" s="3" t="s">
        <v>81</v>
      </c>
      <c r="E23" s="3">
        <v>10</v>
      </c>
      <c r="F23" s="3">
        <v>94</v>
      </c>
      <c r="G23" s="3">
        <v>9.4</v>
      </c>
      <c r="H23" s="4">
        <v>0.5</v>
      </c>
      <c r="I23" s="5">
        <v>147957</v>
      </c>
      <c r="J23" s="5">
        <v>14796</v>
      </c>
      <c r="K23" s="4">
        <v>0.78300000000000003</v>
      </c>
      <c r="L23" s="4">
        <v>0.1</v>
      </c>
      <c r="M23" s="5">
        <v>861544</v>
      </c>
      <c r="N23" s="5">
        <v>115897</v>
      </c>
      <c r="O23" s="5">
        <v>185758.17</v>
      </c>
      <c r="P23" s="5">
        <v>281850</v>
      </c>
      <c r="Q23" s="4">
        <v>0.13500000000000001</v>
      </c>
      <c r="R23" s="4">
        <v>0.624</v>
      </c>
      <c r="S23" s="18">
        <v>4.6379999999999999</v>
      </c>
      <c r="T23" s="10">
        <v>1022956</v>
      </c>
      <c r="U23" s="10">
        <v>265574</v>
      </c>
      <c r="V23" s="11">
        <v>0.26</v>
      </c>
      <c r="W23" s="12">
        <f>IF(raceday_22_23[[#This Row],[Last Year Turnover]]=0, "No Corresponding PY Meeting", (raceday_22_23[[#This Row],[Betcha Inc. TO]]-raceday_22_23[[#This Row],[Last Year Turnover]])/raceday_22_23[[#This Row],[Last Year Turnover]])</f>
        <v>-0.12177683214136284</v>
      </c>
      <c r="X23" s="3">
        <f>MONTH(raceday_22_23[[#This Row],[Raceday Date]])</f>
        <v>8</v>
      </c>
      <c r="Y2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3" s="3" t="str">
        <f>raceday_22_23[[#This Row],[Raceday Date]]&amp;raceday_22_23[[#This Row],[Club]]</f>
        <v>45534NZ Metropolitan Trotting Club Inc</v>
      </c>
      <c r="AA23" s="5">
        <f>0.03*raceday_22_23[[#This Row],[Export TO (AUD)]]</f>
        <v>8455.5</v>
      </c>
      <c r="AB23" s="5">
        <f>_xlfn.XLOOKUP(raceday_22_23[[#This Row],[Helper]],'Betcha Integrated'!A:A,'Betcha Integrated'!F:F, 0)</f>
        <v>898383.65890000004</v>
      </c>
      <c r="AC23" s="5">
        <f>_xlfn.XLOOKUP(raceday_22_23[[#This Row],[Helper]],'Betcha Integrated'!A:A,'Betcha Integrated'!G:G, 0)</f>
        <v>105416.9736</v>
      </c>
      <c r="AD23" s="5">
        <f>raceday_22_23[[#This Row],[Export Earned]]+raceday_22_23[[#This Row],[Betcha Inc. GBR]]</f>
        <v>113872.4736</v>
      </c>
      <c r="AE23" s="88">
        <f>ROUND(raceday_22_23[[#This Row],[Fav. Win %]]*raceday_22_23[[#This Row],[Races]], 0)</f>
        <v>5</v>
      </c>
    </row>
    <row r="24" spans="1:31" x14ac:dyDescent="0.3">
      <c r="A24" s="8">
        <v>45536</v>
      </c>
      <c r="B24" s="3" t="s">
        <v>82</v>
      </c>
      <c r="C24" s="3" t="s">
        <v>86</v>
      </c>
      <c r="D24" s="3" t="s">
        <v>81</v>
      </c>
      <c r="E24" s="3">
        <v>11</v>
      </c>
      <c r="F24" s="3">
        <v>112</v>
      </c>
      <c r="G24" s="3">
        <v>10.199999999999999</v>
      </c>
      <c r="H24" s="4">
        <v>0.45500000000000002</v>
      </c>
      <c r="I24" s="5">
        <v>114649</v>
      </c>
      <c r="J24" s="5">
        <v>10423</v>
      </c>
      <c r="K24" s="4">
        <v>1.204</v>
      </c>
      <c r="L24" s="4">
        <v>9.0999999999999998E-2</v>
      </c>
      <c r="M24" s="5">
        <v>1026437</v>
      </c>
      <c r="N24" s="5">
        <v>138019</v>
      </c>
      <c r="O24" s="5">
        <v>144230.24</v>
      </c>
      <c r="P24" s="5">
        <v>198277</v>
      </c>
      <c r="Q24" s="4">
        <v>0.13400000000000001</v>
      </c>
      <c r="R24" s="4">
        <v>0.95699999999999996</v>
      </c>
      <c r="S24" s="18">
        <v>7.117</v>
      </c>
      <c r="T24" s="10">
        <v>786759</v>
      </c>
      <c r="U24" s="10">
        <v>160723</v>
      </c>
      <c r="V24" s="11">
        <v>0.20399999999999999</v>
      </c>
      <c r="W24" s="12">
        <f>IF(raceday_22_23[[#This Row],[Last Year Turnover]]=0, "No Corresponding PY Meeting", (raceday_22_23[[#This Row],[Betcha Inc. TO]]-raceday_22_23[[#This Row],[Last Year Turnover]])/raceday_22_23[[#This Row],[Last Year Turnover]])</f>
        <v>0.33557320424678827</v>
      </c>
      <c r="X24" s="3">
        <f>MONTH(raceday_22_23[[#This Row],[Raceday Date]])</f>
        <v>9</v>
      </c>
      <c r="Y2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4" s="3" t="str">
        <f>raceday_22_23[[#This Row],[Raceday Date]]&amp;raceday_22_23[[#This Row],[Club]]</f>
        <v>45536Ashburton Trotting Club Inc</v>
      </c>
      <c r="AA24" s="5">
        <f>0.03*raceday_22_23[[#This Row],[Export TO (AUD)]]</f>
        <v>5948.3099999999995</v>
      </c>
      <c r="AB24" s="5">
        <f>_xlfn.XLOOKUP(raceday_22_23[[#This Row],[Helper]],'Betcha Integrated'!A:A,'Betcha Integrated'!F:F, 0)</f>
        <v>1050774.2385999989</v>
      </c>
      <c r="AC24" s="5">
        <f>_xlfn.XLOOKUP(raceday_22_23[[#This Row],[Helper]],'Betcha Integrated'!A:A,'Betcha Integrated'!G:G, 0)</f>
        <v>136163.40814999992</v>
      </c>
      <c r="AD24" s="5">
        <f>raceday_22_23[[#This Row],[Export Earned]]+raceday_22_23[[#This Row],[Betcha Inc. GBR]]</f>
        <v>142111.71814999991</v>
      </c>
      <c r="AE24" s="88">
        <f>ROUND(raceday_22_23[[#This Row],[Fav. Win %]]*raceday_22_23[[#This Row],[Races]], 0)</f>
        <v>5</v>
      </c>
    </row>
    <row r="25" spans="1:31" x14ac:dyDescent="0.3">
      <c r="A25" s="8">
        <v>45538</v>
      </c>
      <c r="B25" s="3" t="s">
        <v>83</v>
      </c>
      <c r="C25" s="3" t="s">
        <v>84</v>
      </c>
      <c r="D25" s="3" t="s">
        <v>79</v>
      </c>
      <c r="E25" s="3">
        <v>6</v>
      </c>
      <c r="F25" s="3">
        <v>48</v>
      </c>
      <c r="G25" s="3">
        <v>8</v>
      </c>
      <c r="H25" s="4">
        <v>0.33300000000000002</v>
      </c>
      <c r="I25" s="5">
        <v>44640</v>
      </c>
      <c r="J25" s="5">
        <v>7440</v>
      </c>
      <c r="K25" s="4">
        <v>1.8420000000000001</v>
      </c>
      <c r="L25" s="4">
        <v>0</v>
      </c>
      <c r="M25" s="5">
        <v>273577</v>
      </c>
      <c r="N25" s="5">
        <v>82223</v>
      </c>
      <c r="O25" s="5">
        <v>69931.240000000005</v>
      </c>
      <c r="P25" s="5">
        <v>156401</v>
      </c>
      <c r="Q25" s="4">
        <v>0.30099999999999999</v>
      </c>
      <c r="R25" s="4">
        <v>1.1759999999999999</v>
      </c>
      <c r="S25" s="18">
        <v>3.9119999999999999</v>
      </c>
      <c r="T25" s="10">
        <v>0</v>
      </c>
      <c r="U25" s="10">
        <v>0</v>
      </c>
      <c r="V25" s="11">
        <v>0</v>
      </c>
      <c r="W2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5" s="3">
        <f>MONTH(raceday_22_23[[#This Row],[Raceday Date]])</f>
        <v>9</v>
      </c>
      <c r="Y2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5" s="3" t="str">
        <f>raceday_22_23[[#This Row],[Raceday Date]]&amp;raceday_22_23[[#This Row],[Club]]</f>
        <v>45538Waikato Bay of Plenty Harness Inc</v>
      </c>
      <c r="AA25" s="5">
        <f>0.03*raceday_22_23[[#This Row],[Export TO (AUD)]]</f>
        <v>4692.03</v>
      </c>
      <c r="AB25" s="5">
        <f>_xlfn.XLOOKUP(raceday_22_23[[#This Row],[Helper]],'Betcha Integrated'!A:A,'Betcha Integrated'!F:F, 0)</f>
        <v>279893.44779999991</v>
      </c>
      <c r="AC25" s="5">
        <f>_xlfn.XLOOKUP(raceday_22_23[[#This Row],[Helper]],'Betcha Integrated'!A:A,'Betcha Integrated'!G:G, 0)</f>
        <v>84233.577899999902</v>
      </c>
      <c r="AD25" s="5">
        <f>raceday_22_23[[#This Row],[Export Earned]]+raceday_22_23[[#This Row],[Betcha Inc. GBR]]</f>
        <v>88925.607899999901</v>
      </c>
      <c r="AE25" s="88">
        <f>ROUND(raceday_22_23[[#This Row],[Fav. Win %]]*raceday_22_23[[#This Row],[Races]], 0)</f>
        <v>2</v>
      </c>
    </row>
    <row r="26" spans="1:31" x14ac:dyDescent="0.3">
      <c r="A26" s="8">
        <v>45540</v>
      </c>
      <c r="B26" s="3" t="s">
        <v>74</v>
      </c>
      <c r="C26" s="3" t="s">
        <v>90</v>
      </c>
      <c r="D26" s="3" t="s">
        <v>76</v>
      </c>
      <c r="E26" s="3">
        <v>8</v>
      </c>
      <c r="F26" s="3">
        <v>74</v>
      </c>
      <c r="G26" s="3">
        <v>9.1999999999999993</v>
      </c>
      <c r="H26" s="4">
        <v>0.25</v>
      </c>
      <c r="I26" s="5">
        <v>89363</v>
      </c>
      <c r="J26" s="5">
        <v>11170</v>
      </c>
      <c r="K26" s="4">
        <v>1.1379999999999999</v>
      </c>
      <c r="L26" s="4">
        <v>0</v>
      </c>
      <c r="M26" s="5">
        <v>480642</v>
      </c>
      <c r="N26" s="5">
        <v>101686</v>
      </c>
      <c r="O26" s="5">
        <v>124644.2</v>
      </c>
      <c r="P26" s="5">
        <v>177931</v>
      </c>
      <c r="Q26" s="4">
        <v>0.21199999999999999</v>
      </c>
      <c r="R26" s="4">
        <v>0.81599999999999995</v>
      </c>
      <c r="S26" s="18">
        <v>3.8559999999999999</v>
      </c>
      <c r="T26" s="10">
        <v>467922</v>
      </c>
      <c r="U26" s="10">
        <v>100234</v>
      </c>
      <c r="V26" s="11">
        <v>0.214</v>
      </c>
      <c r="W26" s="12">
        <f>IF(raceday_22_23[[#This Row],[Last Year Turnover]]=0, "No Corresponding PY Meeting", (raceday_22_23[[#This Row],[Betcha Inc. TO]]-raceday_22_23[[#This Row],[Last Year Turnover]])/raceday_22_23[[#This Row],[Last Year Turnover]])</f>
        <v>6.9478835788868737E-2</v>
      </c>
      <c r="X26" s="3">
        <f>MONTH(raceday_22_23[[#This Row],[Raceday Date]])</f>
        <v>9</v>
      </c>
      <c r="Y2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6" s="3" t="str">
        <f>raceday_22_23[[#This Row],[Raceday Date]]&amp;raceday_22_23[[#This Row],[Club]]</f>
        <v>45540Wyndham Harness Racing Club Inc</v>
      </c>
      <c r="AA26" s="5">
        <f>0.03*raceday_22_23[[#This Row],[Export TO (AUD)]]</f>
        <v>5337.9299999999994</v>
      </c>
      <c r="AB26" s="5">
        <f>_xlfn.XLOOKUP(raceday_22_23[[#This Row],[Helper]],'Betcha Integrated'!A:A,'Betcha Integrated'!F:F, 0)</f>
        <v>500432.67579999904</v>
      </c>
      <c r="AC26" s="5">
        <f>_xlfn.XLOOKUP(raceday_22_23[[#This Row],[Helper]],'Betcha Integrated'!A:A,'Betcha Integrated'!G:G, 0)</f>
        <v>105753.4184499999</v>
      </c>
      <c r="AD26" s="5">
        <f>raceday_22_23[[#This Row],[Export Earned]]+raceday_22_23[[#This Row],[Betcha Inc. GBR]]</f>
        <v>111091.34844999989</v>
      </c>
      <c r="AE26" s="88">
        <f>ROUND(raceday_22_23[[#This Row],[Fav. Win %]]*raceday_22_23[[#This Row],[Races]], 0)</f>
        <v>2</v>
      </c>
    </row>
    <row r="27" spans="1:31" x14ac:dyDescent="0.3">
      <c r="A27" s="8">
        <v>45541</v>
      </c>
      <c r="B27" s="3" t="s">
        <v>77</v>
      </c>
      <c r="C27" s="3" t="s">
        <v>80</v>
      </c>
      <c r="D27" s="3" t="s">
        <v>81</v>
      </c>
      <c r="E27" s="3">
        <v>10</v>
      </c>
      <c r="F27" s="3">
        <v>100</v>
      </c>
      <c r="G27" s="3">
        <v>10</v>
      </c>
      <c r="H27" s="4">
        <v>0.5</v>
      </c>
      <c r="I27" s="5">
        <v>221305</v>
      </c>
      <c r="J27" s="5">
        <v>22130</v>
      </c>
      <c r="K27" s="4">
        <v>0.95599999999999996</v>
      </c>
      <c r="L27" s="4">
        <v>0.1</v>
      </c>
      <c r="M27" s="5">
        <v>1093806</v>
      </c>
      <c r="N27" s="5">
        <v>211595</v>
      </c>
      <c r="O27" s="5">
        <v>259001.92</v>
      </c>
      <c r="P27" s="5">
        <v>332236</v>
      </c>
      <c r="Q27" s="4">
        <v>0.193</v>
      </c>
      <c r="R27" s="4">
        <v>0.81699999999999995</v>
      </c>
      <c r="S27" s="18">
        <v>4.2229999999999999</v>
      </c>
      <c r="T27" s="10">
        <v>1086914</v>
      </c>
      <c r="U27" s="10">
        <v>268511</v>
      </c>
      <c r="V27" s="11">
        <v>0.247</v>
      </c>
      <c r="W27" s="12">
        <f>IF(raceday_22_23[[#This Row],[Last Year Turnover]]=0, "No Corresponding PY Meeting", (raceday_22_23[[#This Row],[Betcha Inc. TO]]-raceday_22_23[[#This Row],[Last Year Turnover]])/raceday_22_23[[#This Row],[Last Year Turnover]])</f>
        <v>4.6911438991492332E-2</v>
      </c>
      <c r="X27" s="3">
        <f>MONTH(raceday_22_23[[#This Row],[Raceday Date]])</f>
        <v>9</v>
      </c>
      <c r="Y2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7" s="3" t="str">
        <f>raceday_22_23[[#This Row],[Raceday Date]]&amp;raceday_22_23[[#This Row],[Club]]</f>
        <v>45541NZ Metropolitan Trotting Club Inc</v>
      </c>
      <c r="AA27" s="5">
        <f>0.03*raceday_22_23[[#This Row],[Export TO (AUD)]]</f>
        <v>9967.08</v>
      </c>
      <c r="AB27" s="5">
        <f>_xlfn.XLOOKUP(raceday_22_23[[#This Row],[Helper]],'Betcha Integrated'!A:A,'Betcha Integrated'!F:F, 0)</f>
        <v>1137902.6997999989</v>
      </c>
      <c r="AC27" s="5">
        <f>_xlfn.XLOOKUP(raceday_22_23[[#This Row],[Helper]],'Betcha Integrated'!A:A,'Betcha Integrated'!G:G, 0)</f>
        <v>226827.7478499999</v>
      </c>
      <c r="AD27" s="5">
        <f>raceday_22_23[[#This Row],[Export Earned]]+raceday_22_23[[#This Row],[Betcha Inc. GBR]]</f>
        <v>236794.82784999989</v>
      </c>
      <c r="AE27" s="88">
        <f>ROUND(raceday_22_23[[#This Row],[Fav. Win %]]*raceday_22_23[[#This Row],[Races]], 0)</f>
        <v>5</v>
      </c>
    </row>
    <row r="28" spans="1:31" x14ac:dyDescent="0.3">
      <c r="A28" s="8">
        <v>45541</v>
      </c>
      <c r="B28" s="3" t="s">
        <v>77</v>
      </c>
      <c r="C28" s="3" t="s">
        <v>78</v>
      </c>
      <c r="D28" s="3" t="s">
        <v>79</v>
      </c>
      <c r="E28" s="3">
        <v>8</v>
      </c>
      <c r="F28" s="3">
        <v>74</v>
      </c>
      <c r="G28" s="3">
        <v>9.1999999999999993</v>
      </c>
      <c r="H28" s="4">
        <v>0</v>
      </c>
      <c r="I28" s="5">
        <v>169667</v>
      </c>
      <c r="J28" s="5">
        <v>21208</v>
      </c>
      <c r="K28" s="4">
        <v>0.78700000000000003</v>
      </c>
      <c r="L28" s="4">
        <v>0</v>
      </c>
      <c r="M28" s="5">
        <v>591824</v>
      </c>
      <c r="N28" s="5">
        <v>133571</v>
      </c>
      <c r="O28" s="5">
        <v>196073.13</v>
      </c>
      <c r="P28" s="5">
        <v>249819</v>
      </c>
      <c r="Q28" s="4">
        <v>0.22600000000000001</v>
      </c>
      <c r="R28" s="4">
        <v>0.68100000000000005</v>
      </c>
      <c r="S28" s="18">
        <v>3.0179999999999998</v>
      </c>
      <c r="T28" s="10">
        <v>0</v>
      </c>
      <c r="U28" s="10">
        <v>0</v>
      </c>
      <c r="V28" s="11">
        <v>0</v>
      </c>
      <c r="W2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8" s="3">
        <f>MONTH(raceday_22_23[[#This Row],[Raceday Date]])</f>
        <v>9</v>
      </c>
      <c r="Y2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8" s="3" t="str">
        <f>raceday_22_23[[#This Row],[Raceday Date]]&amp;raceday_22_23[[#This Row],[Club]]</f>
        <v>45541Auckland Trotting Club Inc</v>
      </c>
      <c r="AA28" s="5">
        <f>0.03*raceday_22_23[[#This Row],[Export TO (AUD)]]</f>
        <v>7494.57</v>
      </c>
      <c r="AB28" s="5">
        <f>_xlfn.XLOOKUP(raceday_22_23[[#This Row],[Helper]],'Betcha Integrated'!A:A,'Betcha Integrated'!F:F, 0)</f>
        <v>610203.59399999899</v>
      </c>
      <c r="AC28" s="5">
        <f>_xlfn.XLOOKUP(raceday_22_23[[#This Row],[Helper]],'Betcha Integrated'!A:A,'Betcha Integrated'!G:G, 0)</f>
        <v>140852.97974999988</v>
      </c>
      <c r="AD28" s="5">
        <f>raceday_22_23[[#This Row],[Export Earned]]+raceday_22_23[[#This Row],[Betcha Inc. GBR]]</f>
        <v>148347.54974999989</v>
      </c>
      <c r="AE28" s="88">
        <f>ROUND(raceday_22_23[[#This Row],[Fav. Win %]]*raceday_22_23[[#This Row],[Races]], 0)</f>
        <v>0</v>
      </c>
    </row>
    <row r="29" spans="1:31" x14ac:dyDescent="0.3">
      <c r="A29" s="8">
        <v>45543</v>
      </c>
      <c r="B29" s="3" t="s">
        <v>82</v>
      </c>
      <c r="C29" s="3" t="s">
        <v>91</v>
      </c>
      <c r="D29" s="3" t="s">
        <v>81</v>
      </c>
      <c r="E29" s="3">
        <v>12</v>
      </c>
      <c r="F29" s="3">
        <v>153</v>
      </c>
      <c r="G29" s="3">
        <v>12.8</v>
      </c>
      <c r="H29" s="4">
        <v>8.3000000000000004E-2</v>
      </c>
      <c r="I29" s="5">
        <v>136821</v>
      </c>
      <c r="J29" s="5">
        <v>11402</v>
      </c>
      <c r="K29" s="4">
        <v>1.8580000000000001</v>
      </c>
      <c r="L29" s="4">
        <v>0.16700000000000001</v>
      </c>
      <c r="M29" s="5">
        <v>1105528</v>
      </c>
      <c r="N29" s="5">
        <v>254196</v>
      </c>
      <c r="O29" s="5">
        <v>164576.9</v>
      </c>
      <c r="P29" s="5">
        <v>249468</v>
      </c>
      <c r="Q29" s="4">
        <v>0.23</v>
      </c>
      <c r="R29" s="4">
        <v>1.5449999999999999</v>
      </c>
      <c r="S29" s="18">
        <v>6.7169999999999996</v>
      </c>
      <c r="T29" s="10">
        <v>1045105</v>
      </c>
      <c r="U29" s="10">
        <v>241066</v>
      </c>
      <c r="V29" s="11">
        <v>0.23100000000000001</v>
      </c>
      <c r="W29" s="12">
        <f>IF(raceday_22_23[[#This Row],[Last Year Turnover]]=0, "No Corresponding PY Meeting", (raceday_22_23[[#This Row],[Betcha Inc. TO]]-raceday_22_23[[#This Row],[Last Year Turnover]])/raceday_22_23[[#This Row],[Last Year Turnover]])</f>
        <v>7.6646141966595721E-2</v>
      </c>
      <c r="X29" s="3">
        <f>MONTH(raceday_22_23[[#This Row],[Raceday Date]])</f>
        <v>9</v>
      </c>
      <c r="Y2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29" s="3" t="str">
        <f>raceday_22_23[[#This Row],[Raceday Date]]&amp;raceday_22_23[[#This Row],[Club]]</f>
        <v>45543Methven Trotting Club Inc</v>
      </c>
      <c r="AA29" s="5">
        <f>0.03*raceday_22_23[[#This Row],[Export TO (AUD)]]</f>
        <v>7484.04</v>
      </c>
      <c r="AB29" s="5">
        <f>_xlfn.XLOOKUP(raceday_22_23[[#This Row],[Helper]],'Betcha Integrated'!A:A,'Betcha Integrated'!F:F, 0)</f>
        <v>1125208.266199999</v>
      </c>
      <c r="AC29" s="5">
        <f>_xlfn.XLOOKUP(raceday_22_23[[#This Row],[Helper]],'Betcha Integrated'!A:A,'Betcha Integrated'!G:G, 0)</f>
        <v>262692.98159999901</v>
      </c>
      <c r="AD29" s="5">
        <f>raceday_22_23[[#This Row],[Export Earned]]+raceday_22_23[[#This Row],[Betcha Inc. GBR]]</f>
        <v>270177.02159999899</v>
      </c>
      <c r="AE29" s="88">
        <f>ROUND(raceday_22_23[[#This Row],[Fav. Win %]]*raceday_22_23[[#This Row],[Races]], 0)</f>
        <v>1</v>
      </c>
    </row>
    <row r="30" spans="1:31" x14ac:dyDescent="0.3">
      <c r="A30" s="8">
        <v>45545</v>
      </c>
      <c r="B30" s="3" t="s">
        <v>83</v>
      </c>
      <c r="C30" s="3" t="s">
        <v>84</v>
      </c>
      <c r="D30" s="3" t="s">
        <v>79</v>
      </c>
      <c r="E30" s="3">
        <v>8</v>
      </c>
      <c r="F30" s="3">
        <v>67</v>
      </c>
      <c r="G30" s="3">
        <v>8.4</v>
      </c>
      <c r="H30" s="4">
        <v>0.375</v>
      </c>
      <c r="I30" s="5">
        <v>59940</v>
      </c>
      <c r="J30" s="5">
        <v>7492</v>
      </c>
      <c r="K30" s="4">
        <v>0.67800000000000005</v>
      </c>
      <c r="L30" s="4">
        <v>0</v>
      </c>
      <c r="M30" s="5">
        <v>331698</v>
      </c>
      <c r="N30" s="5">
        <v>40662</v>
      </c>
      <c r="O30" s="5">
        <v>85126.24</v>
      </c>
      <c r="P30" s="5">
        <v>178386</v>
      </c>
      <c r="Q30" s="4">
        <v>0.123</v>
      </c>
      <c r="R30" s="4">
        <v>0.47799999999999998</v>
      </c>
      <c r="S30" s="18">
        <v>3.8969999999999998</v>
      </c>
      <c r="T30" s="10">
        <v>0</v>
      </c>
      <c r="U30" s="10">
        <v>0</v>
      </c>
      <c r="V30" s="11">
        <v>0</v>
      </c>
      <c r="W3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30" s="3">
        <f>MONTH(raceday_22_23[[#This Row],[Raceday Date]])</f>
        <v>9</v>
      </c>
      <c r="Y3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0" s="3" t="str">
        <f>raceday_22_23[[#This Row],[Raceday Date]]&amp;raceday_22_23[[#This Row],[Club]]</f>
        <v>45545Waikato Bay of Plenty Harness Inc</v>
      </c>
      <c r="AA30" s="5">
        <f>0.03*raceday_22_23[[#This Row],[Export TO (AUD)]]</f>
        <v>5351.58</v>
      </c>
      <c r="AB30" s="5">
        <f>_xlfn.XLOOKUP(raceday_22_23[[#This Row],[Helper]],'Betcha Integrated'!A:A,'Betcha Integrated'!F:F, 0)</f>
        <v>345089.52019999898</v>
      </c>
      <c r="AC30" s="5">
        <f>_xlfn.XLOOKUP(raceday_22_23[[#This Row],[Helper]],'Betcha Integrated'!A:A,'Betcha Integrated'!G:G, 0)</f>
        <v>39694.425149999901</v>
      </c>
      <c r="AD30" s="5">
        <f>raceday_22_23[[#This Row],[Export Earned]]+raceday_22_23[[#This Row],[Betcha Inc. GBR]]</f>
        <v>45046.005149999903</v>
      </c>
      <c r="AE30" s="88">
        <f>ROUND(raceday_22_23[[#This Row],[Fav. Win %]]*raceday_22_23[[#This Row],[Races]], 0)</f>
        <v>3</v>
      </c>
    </row>
    <row r="31" spans="1:31" x14ac:dyDescent="0.3">
      <c r="A31" s="8">
        <v>45547</v>
      </c>
      <c r="B31" s="3" t="s">
        <v>74</v>
      </c>
      <c r="C31" s="3" t="s">
        <v>85</v>
      </c>
      <c r="D31" s="3" t="s">
        <v>76</v>
      </c>
      <c r="E31" s="3">
        <v>8</v>
      </c>
      <c r="F31" s="3">
        <v>64</v>
      </c>
      <c r="G31" s="3">
        <v>8</v>
      </c>
      <c r="H31" s="4">
        <v>0.25</v>
      </c>
      <c r="I31" s="5">
        <v>85612</v>
      </c>
      <c r="J31" s="5">
        <v>10702</v>
      </c>
      <c r="K31" s="4">
        <v>1.1970000000000001</v>
      </c>
      <c r="L31" s="4">
        <v>0</v>
      </c>
      <c r="M31" s="5">
        <v>386291</v>
      </c>
      <c r="N31" s="5">
        <v>102454</v>
      </c>
      <c r="O31" s="5">
        <v>110440.36</v>
      </c>
      <c r="P31" s="5">
        <v>166901</v>
      </c>
      <c r="Q31" s="4">
        <v>0.26500000000000001</v>
      </c>
      <c r="R31" s="4">
        <v>0.92800000000000005</v>
      </c>
      <c r="S31" s="18">
        <v>3.4980000000000002</v>
      </c>
      <c r="T31" s="10">
        <v>338213</v>
      </c>
      <c r="U31" s="10">
        <v>58631</v>
      </c>
      <c r="V31" s="11">
        <v>0.17299999999999999</v>
      </c>
      <c r="W31" s="12">
        <f>IF(raceday_22_23[[#This Row],[Last Year Turnover]]=0, "No Corresponding PY Meeting", (raceday_22_23[[#This Row],[Betcha Inc. TO]]-raceday_22_23[[#This Row],[Last Year Turnover]])/raceday_22_23[[#This Row],[Last Year Turnover]])</f>
        <v>0.17794174558635828</v>
      </c>
      <c r="X31" s="3">
        <f>MONTH(raceday_22_23[[#This Row],[Raceday Date]])</f>
        <v>9</v>
      </c>
      <c r="Y3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1" s="3" t="str">
        <f>raceday_22_23[[#This Row],[Raceday Date]]&amp;raceday_22_23[[#This Row],[Club]]</f>
        <v>45547Invercargill Harness Racing Club Inc</v>
      </c>
      <c r="AA31" s="5">
        <f>0.03*raceday_22_23[[#This Row],[Export TO (AUD)]]</f>
        <v>5007.03</v>
      </c>
      <c r="AB31" s="5">
        <f>_xlfn.XLOOKUP(raceday_22_23[[#This Row],[Helper]],'Betcha Integrated'!A:A,'Betcha Integrated'!F:F, 0)</f>
        <v>398395.21159999899</v>
      </c>
      <c r="AC31" s="5">
        <f>_xlfn.XLOOKUP(raceday_22_23[[#This Row],[Helper]],'Betcha Integrated'!A:A,'Betcha Integrated'!G:G, 0)</f>
        <v>105913.01859999989</v>
      </c>
      <c r="AD31" s="5">
        <f>raceday_22_23[[#This Row],[Export Earned]]+raceday_22_23[[#This Row],[Betcha Inc. GBR]]</f>
        <v>110920.04859999989</v>
      </c>
      <c r="AE31" s="88">
        <f>ROUND(raceday_22_23[[#This Row],[Fav. Win %]]*raceday_22_23[[#This Row],[Races]], 0)</f>
        <v>2</v>
      </c>
    </row>
    <row r="32" spans="1:31" x14ac:dyDescent="0.3">
      <c r="A32" s="8">
        <v>45548</v>
      </c>
      <c r="B32" s="3" t="s">
        <v>77</v>
      </c>
      <c r="C32" s="3" t="s">
        <v>78</v>
      </c>
      <c r="D32" s="3" t="s">
        <v>79</v>
      </c>
      <c r="E32" s="3">
        <v>10</v>
      </c>
      <c r="F32" s="3">
        <v>75</v>
      </c>
      <c r="G32" s="3">
        <v>7.5</v>
      </c>
      <c r="H32" s="4">
        <v>0.3</v>
      </c>
      <c r="I32" s="5">
        <v>187129</v>
      </c>
      <c r="J32" s="5">
        <v>18713</v>
      </c>
      <c r="K32" s="4">
        <v>0.49</v>
      </c>
      <c r="L32" s="4">
        <v>0.1</v>
      </c>
      <c r="M32" s="5">
        <v>649506</v>
      </c>
      <c r="N32" s="5">
        <v>91734</v>
      </c>
      <c r="O32" s="5">
        <v>213535.63</v>
      </c>
      <c r="P32" s="5">
        <v>291951</v>
      </c>
      <c r="Q32" s="4">
        <v>0.14099999999999999</v>
      </c>
      <c r="R32" s="4">
        <v>0.43</v>
      </c>
      <c r="S32" s="18">
        <v>3.0419999999999998</v>
      </c>
      <c r="T32" s="10">
        <v>661998</v>
      </c>
      <c r="U32" s="10">
        <v>155789</v>
      </c>
      <c r="V32" s="11">
        <v>0.23499999999999999</v>
      </c>
      <c r="W32" s="12">
        <f>IF(raceday_22_23[[#This Row],[Last Year Turnover]]=0, "No Corresponding PY Meeting", (raceday_22_23[[#This Row],[Betcha Inc. TO]]-raceday_22_23[[#This Row],[Last Year Turnover]])/raceday_22_23[[#This Row],[Last Year Turnover]])</f>
        <v>2.9928884679408432E-2</v>
      </c>
      <c r="X32" s="3">
        <f>MONTH(raceday_22_23[[#This Row],[Raceday Date]])</f>
        <v>9</v>
      </c>
      <c r="Y3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2" s="3" t="str">
        <f>raceday_22_23[[#This Row],[Raceday Date]]&amp;raceday_22_23[[#This Row],[Club]]</f>
        <v>45548Auckland Trotting Club Inc</v>
      </c>
      <c r="AA32" s="5">
        <f>0.03*raceday_22_23[[#This Row],[Export TO (AUD)]]</f>
        <v>8758.5299999999988</v>
      </c>
      <c r="AB32" s="5">
        <f>_xlfn.XLOOKUP(raceday_22_23[[#This Row],[Helper]],'Betcha Integrated'!A:A,'Betcha Integrated'!F:F, 0)</f>
        <v>681810.86179999902</v>
      </c>
      <c r="AC32" s="5">
        <f>_xlfn.XLOOKUP(raceday_22_23[[#This Row],[Helper]],'Betcha Integrated'!A:A,'Betcha Integrated'!G:G, 0)</f>
        <v>99010.210649999906</v>
      </c>
      <c r="AD32" s="5">
        <f>raceday_22_23[[#This Row],[Export Earned]]+raceday_22_23[[#This Row],[Betcha Inc. GBR]]</f>
        <v>107768.74064999991</v>
      </c>
      <c r="AE32" s="88">
        <f>ROUND(raceday_22_23[[#This Row],[Fav. Win %]]*raceday_22_23[[#This Row],[Races]], 0)</f>
        <v>3</v>
      </c>
    </row>
    <row r="33" spans="1:31" x14ac:dyDescent="0.3">
      <c r="A33" s="8">
        <v>45548</v>
      </c>
      <c r="B33" s="3" t="s">
        <v>77</v>
      </c>
      <c r="C33" s="3" t="s">
        <v>80</v>
      </c>
      <c r="D33" s="3" t="s">
        <v>81</v>
      </c>
      <c r="E33" s="3">
        <v>11</v>
      </c>
      <c r="F33" s="3">
        <v>109</v>
      </c>
      <c r="G33" s="3">
        <v>9.9</v>
      </c>
      <c r="H33" s="4">
        <v>0.45500000000000002</v>
      </c>
      <c r="I33" s="5">
        <v>224386</v>
      </c>
      <c r="J33" s="5">
        <v>20399</v>
      </c>
      <c r="K33" s="4">
        <v>0.11899999999999999</v>
      </c>
      <c r="L33" s="4">
        <v>0.182</v>
      </c>
      <c r="M33" s="5">
        <v>916001</v>
      </c>
      <c r="N33" s="5">
        <v>26750</v>
      </c>
      <c r="O33" s="5">
        <v>262291.92</v>
      </c>
      <c r="P33" s="5">
        <v>385680</v>
      </c>
      <c r="Q33" s="4">
        <v>2.9000000000000001E-2</v>
      </c>
      <c r="R33" s="4">
        <v>0.10199999999999999</v>
      </c>
      <c r="S33" s="18">
        <v>3.492</v>
      </c>
      <c r="T33" s="10">
        <v>899965</v>
      </c>
      <c r="U33" s="10">
        <v>240848</v>
      </c>
      <c r="V33" s="11">
        <v>0.26800000000000002</v>
      </c>
      <c r="W33" s="12">
        <f>IF(raceday_22_23[[#This Row],[Last Year Turnover]]=0, "No Corresponding PY Meeting", (raceday_22_23[[#This Row],[Betcha Inc. TO]]-raceday_22_23[[#This Row],[Last Year Turnover]])/raceday_22_23[[#This Row],[Last Year Turnover]])</f>
        <v>8.2859182079301971E-2</v>
      </c>
      <c r="X33" s="3">
        <f>MONTH(raceday_22_23[[#This Row],[Raceday Date]])</f>
        <v>9</v>
      </c>
      <c r="Y3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3" s="3" t="str">
        <f>raceday_22_23[[#This Row],[Raceday Date]]&amp;raceday_22_23[[#This Row],[Club]]</f>
        <v>45548NZ Metropolitan Trotting Club Inc</v>
      </c>
      <c r="AA33" s="5">
        <f>0.03*raceday_22_23[[#This Row],[Export TO (AUD)]]</f>
        <v>11570.4</v>
      </c>
      <c r="AB33" s="5">
        <f>_xlfn.XLOOKUP(raceday_22_23[[#This Row],[Helper]],'Betcha Integrated'!A:A,'Betcha Integrated'!F:F, 0)</f>
        <v>974535.363799999</v>
      </c>
      <c r="AC33" s="5">
        <f>_xlfn.XLOOKUP(raceday_22_23[[#This Row],[Helper]],'Betcha Integrated'!A:A,'Betcha Integrated'!G:G, 0)</f>
        <v>29968.378999999906</v>
      </c>
      <c r="AD33" s="5">
        <f>raceday_22_23[[#This Row],[Export Earned]]+raceday_22_23[[#This Row],[Betcha Inc. GBR]]</f>
        <v>41538.778999999908</v>
      </c>
      <c r="AE33" s="88">
        <f>ROUND(raceday_22_23[[#This Row],[Fav. Win %]]*raceday_22_23[[#This Row],[Races]], 0)</f>
        <v>5</v>
      </c>
    </row>
    <row r="34" spans="1:31" x14ac:dyDescent="0.3">
      <c r="A34" s="8">
        <v>45550</v>
      </c>
      <c r="B34" s="3" t="s">
        <v>82</v>
      </c>
      <c r="C34" s="3" t="s">
        <v>92</v>
      </c>
      <c r="D34" s="3" t="s">
        <v>76</v>
      </c>
      <c r="E34" s="3">
        <v>10</v>
      </c>
      <c r="F34" s="3">
        <v>94</v>
      </c>
      <c r="G34" s="3">
        <v>9.4</v>
      </c>
      <c r="H34" s="4">
        <v>0.4</v>
      </c>
      <c r="I34" s="5">
        <v>197637</v>
      </c>
      <c r="J34" s="5">
        <v>19764</v>
      </c>
      <c r="K34" s="4">
        <v>0.878</v>
      </c>
      <c r="L34" s="4">
        <v>0.3</v>
      </c>
      <c r="M34" s="5">
        <v>875993</v>
      </c>
      <c r="N34" s="5">
        <v>173540</v>
      </c>
      <c r="O34" s="5">
        <v>223498.7</v>
      </c>
      <c r="P34" s="5">
        <v>228653</v>
      </c>
      <c r="Q34" s="4">
        <v>0.19800000000000001</v>
      </c>
      <c r="R34" s="4">
        <v>0.77600000000000002</v>
      </c>
      <c r="S34" s="18">
        <v>3.919</v>
      </c>
      <c r="T34" s="10">
        <v>918411</v>
      </c>
      <c r="U34" s="10">
        <v>163275</v>
      </c>
      <c r="V34" s="11">
        <v>0.17799999999999999</v>
      </c>
      <c r="W34" s="12">
        <f>IF(raceday_22_23[[#This Row],[Last Year Turnover]]=0, "No Corresponding PY Meeting", (raceday_22_23[[#This Row],[Betcha Inc. TO]]-raceday_22_23[[#This Row],[Last Year Turnover]])/raceday_22_23[[#This Row],[Last Year Turnover]])</f>
        <v>-9.389873596898312E-3</v>
      </c>
      <c r="X34" s="3">
        <f>MONTH(raceday_22_23[[#This Row],[Raceday Date]])</f>
        <v>9</v>
      </c>
      <c r="Y3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4" s="3" t="str">
        <f>raceday_22_23[[#This Row],[Raceday Date]]&amp;raceday_22_23[[#This Row],[Club]]</f>
        <v>45550Oamaru Harness Racing Club Inc</v>
      </c>
      <c r="AA34" s="5">
        <f>0.03*raceday_22_23[[#This Row],[Export TO (AUD)]]</f>
        <v>6859.59</v>
      </c>
      <c r="AB34" s="5">
        <f>_xlfn.XLOOKUP(raceday_22_23[[#This Row],[Helper]],'Betcha Integrated'!A:A,'Betcha Integrated'!F:F, 0)</f>
        <v>909787.23679999902</v>
      </c>
      <c r="AC34" s="5">
        <f>_xlfn.XLOOKUP(raceday_22_23[[#This Row],[Helper]],'Betcha Integrated'!A:A,'Betcha Integrated'!G:G, 0)</f>
        <v>182987.90684999991</v>
      </c>
      <c r="AD34" s="5">
        <f>raceday_22_23[[#This Row],[Export Earned]]+raceday_22_23[[#This Row],[Betcha Inc. GBR]]</f>
        <v>189847.49684999991</v>
      </c>
      <c r="AE34" s="88">
        <f>ROUND(raceday_22_23[[#This Row],[Fav. Win %]]*raceday_22_23[[#This Row],[Races]], 0)</f>
        <v>4</v>
      </c>
    </row>
    <row r="35" spans="1:31" x14ac:dyDescent="0.3">
      <c r="A35" s="8">
        <v>45552</v>
      </c>
      <c r="B35" s="3" t="s">
        <v>83</v>
      </c>
      <c r="C35" s="3" t="s">
        <v>84</v>
      </c>
      <c r="D35" s="3" t="s">
        <v>79</v>
      </c>
      <c r="E35" s="3">
        <v>6</v>
      </c>
      <c r="F35" s="3">
        <v>43</v>
      </c>
      <c r="G35" s="3">
        <v>7.2</v>
      </c>
      <c r="H35" s="4">
        <v>0.5</v>
      </c>
      <c r="I35" s="5">
        <v>43940</v>
      </c>
      <c r="J35" s="5">
        <v>7323</v>
      </c>
      <c r="K35" s="4">
        <v>1.4510000000000001</v>
      </c>
      <c r="L35" s="4">
        <v>0</v>
      </c>
      <c r="M35" s="5">
        <v>279573</v>
      </c>
      <c r="N35" s="5">
        <v>63751</v>
      </c>
      <c r="O35" s="5">
        <v>69441.240000000005</v>
      </c>
      <c r="P35" s="5">
        <v>103611</v>
      </c>
      <c r="Q35" s="4">
        <v>0.22800000000000001</v>
      </c>
      <c r="R35" s="4">
        <v>0.91800000000000004</v>
      </c>
      <c r="S35" s="18">
        <v>4.0259999999999998</v>
      </c>
      <c r="T35" s="10">
        <v>0</v>
      </c>
      <c r="U35" s="10">
        <v>0</v>
      </c>
      <c r="V35" s="11">
        <v>0</v>
      </c>
      <c r="W3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35" s="3">
        <f>MONTH(raceday_22_23[[#This Row],[Raceday Date]])</f>
        <v>9</v>
      </c>
      <c r="Y3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5" s="3" t="str">
        <f>raceday_22_23[[#This Row],[Raceday Date]]&amp;raceday_22_23[[#This Row],[Club]]</f>
        <v>45552Waikato Bay of Plenty Harness Inc</v>
      </c>
      <c r="AA35" s="5">
        <f>0.03*raceday_22_23[[#This Row],[Export TO (AUD)]]</f>
        <v>3108.33</v>
      </c>
      <c r="AB35" s="5">
        <f>_xlfn.XLOOKUP(raceday_22_23[[#This Row],[Helper]],'Betcha Integrated'!A:A,'Betcha Integrated'!F:F, 0)</f>
        <v>283952.36459999997</v>
      </c>
      <c r="AC35" s="5">
        <f>_xlfn.XLOOKUP(raceday_22_23[[#This Row],[Helper]],'Betcha Integrated'!A:A,'Betcha Integrated'!G:G, 0)</f>
        <v>63330.1705</v>
      </c>
      <c r="AD35" s="5">
        <f>raceday_22_23[[#This Row],[Export Earned]]+raceday_22_23[[#This Row],[Betcha Inc. GBR]]</f>
        <v>66438.500499999995</v>
      </c>
      <c r="AE35" s="88">
        <f>ROUND(raceday_22_23[[#This Row],[Fav. Win %]]*raceday_22_23[[#This Row],[Races]], 0)</f>
        <v>3</v>
      </c>
    </row>
    <row r="36" spans="1:31" x14ac:dyDescent="0.3">
      <c r="A36" s="8">
        <v>45554</v>
      </c>
      <c r="B36" s="3" t="s">
        <v>74</v>
      </c>
      <c r="C36" s="3" t="s">
        <v>75</v>
      </c>
      <c r="D36" s="3" t="s">
        <v>76</v>
      </c>
      <c r="E36" s="3">
        <v>9</v>
      </c>
      <c r="F36" s="3">
        <v>77</v>
      </c>
      <c r="G36" s="3">
        <v>8.6</v>
      </c>
      <c r="H36" s="4">
        <v>0.222</v>
      </c>
      <c r="I36" s="5">
        <v>102333</v>
      </c>
      <c r="J36" s="5">
        <v>11370</v>
      </c>
      <c r="K36" s="4">
        <v>1.613</v>
      </c>
      <c r="L36" s="4">
        <v>0</v>
      </c>
      <c r="M36" s="5">
        <v>533078</v>
      </c>
      <c r="N36" s="5">
        <v>165051</v>
      </c>
      <c r="O36" s="5">
        <v>124433.34</v>
      </c>
      <c r="P36" s="5">
        <v>246482</v>
      </c>
      <c r="Q36" s="4">
        <v>0.31</v>
      </c>
      <c r="R36" s="4">
        <v>1.3260000000000001</v>
      </c>
      <c r="S36" s="18">
        <v>4.2839999999999998</v>
      </c>
      <c r="T36" s="10">
        <v>527184</v>
      </c>
      <c r="U36" s="10">
        <v>112760</v>
      </c>
      <c r="V36" s="11">
        <v>0.214</v>
      </c>
      <c r="W36" s="12">
        <f>IF(raceday_22_23[[#This Row],[Last Year Turnover]]=0, "No Corresponding PY Meeting", (raceday_22_23[[#This Row],[Betcha Inc. TO]]-raceday_22_23[[#This Row],[Last Year Turnover]])/raceday_22_23[[#This Row],[Last Year Turnover]])</f>
        <v>3.7089060176331179E-2</v>
      </c>
      <c r="X36" s="3">
        <f>MONTH(raceday_22_23[[#This Row],[Raceday Date]])</f>
        <v>9</v>
      </c>
      <c r="Y3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6" s="3" t="str">
        <f>raceday_22_23[[#This Row],[Raceday Date]]&amp;raceday_22_23[[#This Row],[Club]]</f>
        <v>45554Winton Harness Racing Club Inc</v>
      </c>
      <c r="AA36" s="5">
        <f>0.03*raceday_22_23[[#This Row],[Export TO (AUD)]]</f>
        <v>7394.46</v>
      </c>
      <c r="AB36" s="5">
        <f>_xlfn.XLOOKUP(raceday_22_23[[#This Row],[Helper]],'Betcha Integrated'!A:A,'Betcha Integrated'!F:F, 0)</f>
        <v>546736.75909999898</v>
      </c>
      <c r="AC36" s="5">
        <f>_xlfn.XLOOKUP(raceday_22_23[[#This Row],[Helper]],'Betcha Integrated'!A:A,'Betcha Integrated'!G:G, 0)</f>
        <v>170444.53629999989</v>
      </c>
      <c r="AD36" s="5">
        <f>raceday_22_23[[#This Row],[Export Earned]]+raceday_22_23[[#This Row],[Betcha Inc. GBR]]</f>
        <v>177838.99629999988</v>
      </c>
      <c r="AE36" s="88">
        <f>ROUND(raceday_22_23[[#This Row],[Fav. Win %]]*raceday_22_23[[#This Row],[Races]], 0)</f>
        <v>2</v>
      </c>
    </row>
    <row r="37" spans="1:31" x14ac:dyDescent="0.3">
      <c r="A37" s="8">
        <v>45555</v>
      </c>
      <c r="B37" s="3" t="s">
        <v>77</v>
      </c>
      <c r="C37" s="3" t="s">
        <v>80</v>
      </c>
      <c r="D37" s="3" t="s">
        <v>81</v>
      </c>
      <c r="E37" s="3">
        <v>10</v>
      </c>
      <c r="F37" s="3">
        <v>112</v>
      </c>
      <c r="G37" s="3">
        <v>11.2</v>
      </c>
      <c r="H37" s="4">
        <v>0.3</v>
      </c>
      <c r="I37" s="5">
        <v>227725</v>
      </c>
      <c r="J37" s="5">
        <v>22772</v>
      </c>
      <c r="K37" s="4">
        <v>1.2609999999999999</v>
      </c>
      <c r="L37" s="4">
        <v>0.4</v>
      </c>
      <c r="M37" s="5">
        <v>1181816</v>
      </c>
      <c r="N37" s="5">
        <v>287195</v>
      </c>
      <c r="O37" s="5">
        <v>265719.42</v>
      </c>
      <c r="P37" s="5">
        <v>496788</v>
      </c>
      <c r="Q37" s="4">
        <v>0.24299999999999999</v>
      </c>
      <c r="R37" s="4">
        <v>1.081</v>
      </c>
      <c r="S37" s="18">
        <v>4.4480000000000004</v>
      </c>
      <c r="T37" s="10">
        <v>972292</v>
      </c>
      <c r="U37" s="10">
        <v>231681</v>
      </c>
      <c r="V37" s="11">
        <v>0.23799999999999999</v>
      </c>
      <c r="W37" s="12">
        <f>IF(raceday_22_23[[#This Row],[Last Year Turnover]]=0, "No Corresponding PY Meeting", (raceday_22_23[[#This Row],[Betcha Inc. TO]]-raceday_22_23[[#This Row],[Last Year Turnover]])/raceday_22_23[[#This Row],[Last Year Turnover]])</f>
        <v>0.2644607899684458</v>
      </c>
      <c r="X37" s="3">
        <f>MONTH(raceday_22_23[[#This Row],[Raceday Date]])</f>
        <v>9</v>
      </c>
      <c r="Y3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7" s="3" t="str">
        <f>raceday_22_23[[#This Row],[Raceday Date]]&amp;raceday_22_23[[#This Row],[Club]]</f>
        <v>45555NZ Metropolitan Trotting Club Inc</v>
      </c>
      <c r="AA37" s="5">
        <f>0.03*raceday_22_23[[#This Row],[Export TO (AUD)]]</f>
        <v>14903.64</v>
      </c>
      <c r="AB37" s="5">
        <f>_xlfn.XLOOKUP(raceday_22_23[[#This Row],[Helper]],'Betcha Integrated'!A:A,'Betcha Integrated'!F:F, 0)</f>
        <v>1229425.1104000001</v>
      </c>
      <c r="AC37" s="5">
        <f>_xlfn.XLOOKUP(raceday_22_23[[#This Row],[Helper]],'Betcha Integrated'!A:A,'Betcha Integrated'!G:G, 0)</f>
        <v>303817.14425000001</v>
      </c>
      <c r="AD37" s="5">
        <f>raceday_22_23[[#This Row],[Export Earned]]+raceday_22_23[[#This Row],[Betcha Inc. GBR]]</f>
        <v>318720.78425000003</v>
      </c>
      <c r="AE37" s="88">
        <f>ROUND(raceday_22_23[[#This Row],[Fav. Win %]]*raceday_22_23[[#This Row],[Races]], 0)</f>
        <v>3</v>
      </c>
    </row>
    <row r="38" spans="1:31" x14ac:dyDescent="0.3">
      <c r="A38" s="8">
        <v>45556</v>
      </c>
      <c r="B38" s="3" t="s">
        <v>93</v>
      </c>
      <c r="C38" s="3" t="s">
        <v>78</v>
      </c>
      <c r="D38" s="3" t="s">
        <v>79</v>
      </c>
      <c r="E38" s="3">
        <v>10</v>
      </c>
      <c r="F38" s="3">
        <v>84</v>
      </c>
      <c r="G38" s="3">
        <v>8.4</v>
      </c>
      <c r="H38" s="4">
        <v>0.3</v>
      </c>
      <c r="I38" s="5">
        <v>281884</v>
      </c>
      <c r="J38" s="5">
        <v>28188</v>
      </c>
      <c r="K38" s="4">
        <v>0.42299999999999999</v>
      </c>
      <c r="L38" s="4">
        <v>0</v>
      </c>
      <c r="M38" s="5">
        <v>566245</v>
      </c>
      <c r="N38" s="5">
        <v>119231</v>
      </c>
      <c r="O38" s="5">
        <v>308184.88</v>
      </c>
      <c r="P38" s="5">
        <v>134303</v>
      </c>
      <c r="Q38" s="4">
        <v>0.21099999999999999</v>
      </c>
      <c r="R38" s="4">
        <v>0.38700000000000001</v>
      </c>
      <c r="S38" s="18">
        <v>1.837</v>
      </c>
      <c r="T38" s="10">
        <v>904924</v>
      </c>
      <c r="U38" s="10">
        <v>194016</v>
      </c>
      <c r="V38" s="11">
        <v>0.214</v>
      </c>
      <c r="W38" s="12">
        <f>IF(raceday_22_23[[#This Row],[Last Year Turnover]]=0, "No Corresponding PY Meeting", (raceday_22_23[[#This Row],[Betcha Inc. TO]]-raceday_22_23[[#This Row],[Last Year Turnover]])/raceday_22_23[[#This Row],[Last Year Turnover]])</f>
        <v>-0.35183910825660608</v>
      </c>
      <c r="X38" s="3">
        <f>MONTH(raceday_22_23[[#This Row],[Raceday Date]])</f>
        <v>9</v>
      </c>
      <c r="Y3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8" s="3" t="str">
        <f>raceday_22_23[[#This Row],[Raceday Date]]&amp;raceday_22_23[[#This Row],[Club]]</f>
        <v>45556Auckland Trotting Club Inc</v>
      </c>
      <c r="AA38" s="5">
        <f>0.03*raceday_22_23[[#This Row],[Export TO (AUD)]]</f>
        <v>4029.0899999999997</v>
      </c>
      <c r="AB38" s="5">
        <f>_xlfn.XLOOKUP(raceday_22_23[[#This Row],[Helper]],'Betcha Integrated'!A:A,'Betcha Integrated'!F:F, 0)</f>
        <v>586536.34679999901</v>
      </c>
      <c r="AC38" s="5">
        <f>_xlfn.XLOOKUP(raceday_22_23[[#This Row],[Helper]],'Betcha Integrated'!A:A,'Betcha Integrated'!G:G, 0)</f>
        <v>124526.52289999991</v>
      </c>
      <c r="AD38" s="5">
        <f>raceday_22_23[[#This Row],[Export Earned]]+raceday_22_23[[#This Row],[Betcha Inc. GBR]]</f>
        <v>128555.61289999991</v>
      </c>
      <c r="AE38" s="88">
        <f>ROUND(raceday_22_23[[#This Row],[Fav. Win %]]*raceday_22_23[[#This Row],[Races]], 0)</f>
        <v>3</v>
      </c>
    </row>
    <row r="39" spans="1:31" x14ac:dyDescent="0.3">
      <c r="A39" s="8">
        <v>45557</v>
      </c>
      <c r="B39" s="3" t="s">
        <v>82</v>
      </c>
      <c r="C39" s="3" t="s">
        <v>94</v>
      </c>
      <c r="D39" s="3" t="s">
        <v>81</v>
      </c>
      <c r="E39" s="3">
        <v>12</v>
      </c>
      <c r="F39" s="3">
        <v>151</v>
      </c>
      <c r="G39" s="3">
        <v>12.6</v>
      </c>
      <c r="H39" s="4">
        <v>0.16700000000000001</v>
      </c>
      <c r="I39" s="5">
        <v>167943</v>
      </c>
      <c r="J39" s="5">
        <v>13995</v>
      </c>
      <c r="K39" s="4">
        <v>0.95199999999999996</v>
      </c>
      <c r="L39" s="4">
        <v>0.16700000000000001</v>
      </c>
      <c r="M39" s="5">
        <v>1097283</v>
      </c>
      <c r="N39" s="5">
        <v>159948</v>
      </c>
      <c r="O39" s="5">
        <v>212629.09</v>
      </c>
      <c r="P39" s="5">
        <v>264304</v>
      </c>
      <c r="Q39" s="4">
        <v>0.14599999999999999</v>
      </c>
      <c r="R39" s="4">
        <v>0.752</v>
      </c>
      <c r="S39" s="18">
        <v>5.1609999999999996</v>
      </c>
      <c r="T39" s="10">
        <v>1204455</v>
      </c>
      <c r="U39" s="10">
        <v>226749</v>
      </c>
      <c r="V39" s="11">
        <v>0.188</v>
      </c>
      <c r="W39" s="12">
        <f>IF(raceday_22_23[[#This Row],[Last Year Turnover]]=0, "No Corresponding PY Meeting", (raceday_22_23[[#This Row],[Betcha Inc. TO]]-raceday_22_23[[#This Row],[Last Year Turnover]])/raceday_22_23[[#This Row],[Last Year Turnover]])</f>
        <v>-6.386825792578478E-2</v>
      </c>
      <c r="X39" s="3">
        <f>MONTH(raceday_22_23[[#This Row],[Raceday Date]])</f>
        <v>9</v>
      </c>
      <c r="Y3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39" s="3" t="str">
        <f>raceday_22_23[[#This Row],[Raceday Date]]&amp;raceday_22_23[[#This Row],[Club]]</f>
        <v>45557Banks Peninsula Trotting Club Inc</v>
      </c>
      <c r="AA39" s="5">
        <f>0.03*raceday_22_23[[#This Row],[Export TO (AUD)]]</f>
        <v>7929.12</v>
      </c>
      <c r="AB39" s="5">
        <f>_xlfn.XLOOKUP(raceday_22_23[[#This Row],[Helper]],'Betcha Integrated'!A:A,'Betcha Integrated'!F:F, 0)</f>
        <v>1127528.5573999989</v>
      </c>
      <c r="AC39" s="5">
        <f>_xlfn.XLOOKUP(raceday_22_23[[#This Row],[Helper]],'Betcha Integrated'!A:A,'Betcha Integrated'!G:G, 0)</f>
        <v>159368.23659999901</v>
      </c>
      <c r="AD39" s="5">
        <f>raceday_22_23[[#This Row],[Export Earned]]+raceday_22_23[[#This Row],[Betcha Inc. GBR]]</f>
        <v>167297.35659999901</v>
      </c>
      <c r="AE39" s="88">
        <f>ROUND(raceday_22_23[[#This Row],[Fav. Win %]]*raceday_22_23[[#This Row],[Races]], 0)</f>
        <v>2</v>
      </c>
    </row>
    <row r="40" spans="1:31" x14ac:dyDescent="0.3">
      <c r="A40" s="8">
        <v>45559</v>
      </c>
      <c r="B40" s="3" t="s">
        <v>83</v>
      </c>
      <c r="C40" s="3" t="s">
        <v>84</v>
      </c>
      <c r="D40" s="3" t="s">
        <v>79</v>
      </c>
      <c r="E40" s="3">
        <v>8</v>
      </c>
      <c r="F40" s="3">
        <v>66</v>
      </c>
      <c r="G40" s="3">
        <v>8.1999999999999993</v>
      </c>
      <c r="H40" s="4">
        <v>0.375</v>
      </c>
      <c r="I40" s="5">
        <v>59800</v>
      </c>
      <c r="J40" s="5">
        <v>7475</v>
      </c>
      <c r="K40" s="4">
        <v>0.23400000000000001</v>
      </c>
      <c r="L40" s="4">
        <v>0.125</v>
      </c>
      <c r="M40" s="5">
        <v>349161</v>
      </c>
      <c r="N40" s="5">
        <v>13988</v>
      </c>
      <c r="O40" s="5">
        <v>84986.240000000005</v>
      </c>
      <c r="P40" s="5">
        <v>204647</v>
      </c>
      <c r="Q40" s="4">
        <v>0.04</v>
      </c>
      <c r="R40" s="4">
        <v>0.16500000000000001</v>
      </c>
      <c r="S40" s="18">
        <v>4.1079999999999997</v>
      </c>
      <c r="T40" s="10">
        <v>0</v>
      </c>
      <c r="U40" s="10">
        <v>0</v>
      </c>
      <c r="V40" s="11">
        <v>0</v>
      </c>
      <c r="W4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40" s="3">
        <f>MONTH(raceday_22_23[[#This Row],[Raceday Date]])</f>
        <v>9</v>
      </c>
      <c r="Y4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0" s="3" t="str">
        <f>raceday_22_23[[#This Row],[Raceday Date]]&amp;raceday_22_23[[#This Row],[Club]]</f>
        <v>45559Waikato Bay of Plenty Harness Inc</v>
      </c>
      <c r="AA40" s="5">
        <f>0.03*raceday_22_23[[#This Row],[Export TO (AUD)]]</f>
        <v>6139.41</v>
      </c>
      <c r="AB40" s="5">
        <f>_xlfn.XLOOKUP(raceday_22_23[[#This Row],[Helper]],'Betcha Integrated'!A:A,'Betcha Integrated'!F:F, 0)</f>
        <v>364258.04159999901</v>
      </c>
      <c r="AC40" s="5">
        <f>_xlfn.XLOOKUP(raceday_22_23[[#This Row],[Helper]],'Betcha Integrated'!A:A,'Betcha Integrated'!G:G, 0)</f>
        <v>11911.109449999898</v>
      </c>
      <c r="AD40" s="5">
        <f>raceday_22_23[[#This Row],[Export Earned]]+raceday_22_23[[#This Row],[Betcha Inc. GBR]]</f>
        <v>18050.519449999898</v>
      </c>
      <c r="AE40" s="88">
        <f>ROUND(raceday_22_23[[#This Row],[Fav. Win %]]*raceday_22_23[[#This Row],[Races]], 0)</f>
        <v>3</v>
      </c>
    </row>
    <row r="41" spans="1:31" x14ac:dyDescent="0.3">
      <c r="A41" s="8">
        <v>45561</v>
      </c>
      <c r="B41" s="3" t="s">
        <v>74</v>
      </c>
      <c r="C41" s="3" t="s">
        <v>88</v>
      </c>
      <c r="D41" s="3" t="s">
        <v>76</v>
      </c>
      <c r="E41" s="3">
        <v>9</v>
      </c>
      <c r="F41" s="3">
        <v>74</v>
      </c>
      <c r="G41" s="3">
        <v>8.1999999999999993</v>
      </c>
      <c r="H41" s="4">
        <v>0.44400000000000001</v>
      </c>
      <c r="I41" s="5">
        <v>99999</v>
      </c>
      <c r="J41" s="5">
        <v>11111</v>
      </c>
      <c r="K41" s="4">
        <v>1.081</v>
      </c>
      <c r="L41" s="4">
        <v>0</v>
      </c>
      <c r="M41" s="5">
        <v>566245</v>
      </c>
      <c r="N41" s="5">
        <v>108127</v>
      </c>
      <c r="O41" s="5">
        <v>130687</v>
      </c>
      <c r="P41" s="5">
        <v>363777</v>
      </c>
      <c r="Q41" s="4">
        <v>0.191</v>
      </c>
      <c r="R41" s="4">
        <v>0.82699999999999996</v>
      </c>
      <c r="S41" s="18">
        <v>4.3330000000000002</v>
      </c>
      <c r="T41" s="10">
        <v>617146</v>
      </c>
      <c r="U41" s="10">
        <v>118564</v>
      </c>
      <c r="V41" s="11">
        <v>0.192</v>
      </c>
      <c r="W41" s="12">
        <f>IF(raceday_22_23[[#This Row],[Last Year Turnover]]=0, "No Corresponding PY Meeting", (raceday_22_23[[#This Row],[Betcha Inc. TO]]-raceday_22_23[[#This Row],[Last Year Turnover]])/raceday_22_23[[#This Row],[Last Year Turnover]])</f>
        <v>-5.6930920722164595E-2</v>
      </c>
      <c r="X41" s="3">
        <f>MONTH(raceday_22_23[[#This Row],[Raceday Date]])</f>
        <v>9</v>
      </c>
      <c r="Y4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1" s="3" t="str">
        <f>raceday_22_23[[#This Row],[Raceday Date]]&amp;raceday_22_23[[#This Row],[Club]]</f>
        <v>45561Gore Harness Racing Club Inc</v>
      </c>
      <c r="AA41" s="5">
        <f>0.03*raceday_22_23[[#This Row],[Export TO (AUD)]]</f>
        <v>10913.31</v>
      </c>
      <c r="AB41" s="5">
        <f>_xlfn.XLOOKUP(raceday_22_23[[#This Row],[Helper]],'Betcha Integrated'!A:A,'Betcha Integrated'!F:F, 0)</f>
        <v>582011.30999999901</v>
      </c>
      <c r="AC41" s="5">
        <f>_xlfn.XLOOKUP(raceday_22_23[[#This Row],[Helper]],'Betcha Integrated'!A:A,'Betcha Integrated'!G:G, 0)</f>
        <v>110902.1748999999</v>
      </c>
      <c r="AD41" s="5">
        <f>raceday_22_23[[#This Row],[Export Earned]]+raceday_22_23[[#This Row],[Betcha Inc. GBR]]</f>
        <v>121815.48489999989</v>
      </c>
      <c r="AE41" s="88">
        <f>ROUND(raceday_22_23[[#This Row],[Fav. Win %]]*raceday_22_23[[#This Row],[Races]], 0)</f>
        <v>4</v>
      </c>
    </row>
    <row r="42" spans="1:31" x14ac:dyDescent="0.3">
      <c r="A42" s="8">
        <v>45562</v>
      </c>
      <c r="B42" s="3" t="s">
        <v>77</v>
      </c>
      <c r="C42" s="3" t="s">
        <v>78</v>
      </c>
      <c r="D42" s="3" t="s">
        <v>79</v>
      </c>
      <c r="E42" s="3">
        <v>10</v>
      </c>
      <c r="F42" s="3">
        <v>76</v>
      </c>
      <c r="G42" s="3">
        <v>7.6</v>
      </c>
      <c r="H42" s="4">
        <v>0.4</v>
      </c>
      <c r="I42" s="5">
        <v>167170</v>
      </c>
      <c r="J42" s="5">
        <v>16717</v>
      </c>
      <c r="K42" s="4">
        <v>0.53200000000000003</v>
      </c>
      <c r="L42" s="4">
        <v>0</v>
      </c>
      <c r="M42" s="5">
        <v>564727</v>
      </c>
      <c r="N42" s="5">
        <v>88887</v>
      </c>
      <c r="O42" s="5">
        <v>193470.63</v>
      </c>
      <c r="P42" s="5">
        <v>207192</v>
      </c>
      <c r="Q42" s="4">
        <v>0.157</v>
      </c>
      <c r="R42" s="4">
        <v>0.45900000000000002</v>
      </c>
      <c r="S42" s="18">
        <v>2.919</v>
      </c>
      <c r="T42" s="10">
        <v>0</v>
      </c>
      <c r="U42" s="10">
        <v>0</v>
      </c>
      <c r="V42" s="11">
        <v>0</v>
      </c>
      <c r="W4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42" s="3">
        <f>MONTH(raceday_22_23[[#This Row],[Raceday Date]])</f>
        <v>9</v>
      </c>
      <c r="Y4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2" s="3" t="str">
        <f>raceday_22_23[[#This Row],[Raceday Date]]&amp;raceday_22_23[[#This Row],[Club]]</f>
        <v>45562Auckland Trotting Club Inc</v>
      </c>
      <c r="AA42" s="5">
        <f>0.03*raceday_22_23[[#This Row],[Export TO (AUD)]]</f>
        <v>6215.76</v>
      </c>
      <c r="AB42" s="5">
        <f>_xlfn.XLOOKUP(raceday_22_23[[#This Row],[Helper]],'Betcha Integrated'!A:A,'Betcha Integrated'!F:F, 0)</f>
        <v>593707.21209999896</v>
      </c>
      <c r="AC42" s="5">
        <f>_xlfn.XLOOKUP(raceday_22_23[[#This Row],[Helper]],'Betcha Integrated'!A:A,'Betcha Integrated'!G:G, 0)</f>
        <v>90669.065849999897</v>
      </c>
      <c r="AD42" s="5">
        <f>raceday_22_23[[#This Row],[Export Earned]]+raceday_22_23[[#This Row],[Betcha Inc. GBR]]</f>
        <v>96884.825849999892</v>
      </c>
      <c r="AE42" s="88">
        <f>ROUND(raceday_22_23[[#This Row],[Fav. Win %]]*raceday_22_23[[#This Row],[Races]], 0)</f>
        <v>4</v>
      </c>
    </row>
    <row r="43" spans="1:31" x14ac:dyDescent="0.3">
      <c r="A43" s="8">
        <v>45562</v>
      </c>
      <c r="B43" s="3" t="s">
        <v>77</v>
      </c>
      <c r="C43" s="3" t="s">
        <v>80</v>
      </c>
      <c r="D43" s="3" t="s">
        <v>81</v>
      </c>
      <c r="E43" s="3">
        <v>11</v>
      </c>
      <c r="F43" s="3">
        <v>123</v>
      </c>
      <c r="G43" s="3">
        <v>11.2</v>
      </c>
      <c r="H43" s="4">
        <v>0.54500000000000004</v>
      </c>
      <c r="I43" s="5">
        <v>291061</v>
      </c>
      <c r="J43" s="5">
        <v>26460</v>
      </c>
      <c r="K43" s="4">
        <v>0.51900000000000002</v>
      </c>
      <c r="L43" s="4">
        <v>0.182</v>
      </c>
      <c r="M43" s="5">
        <v>1136257</v>
      </c>
      <c r="N43" s="5">
        <v>151167</v>
      </c>
      <c r="O43" s="5">
        <v>329074.42</v>
      </c>
      <c r="P43" s="5">
        <v>297603</v>
      </c>
      <c r="Q43" s="4">
        <v>0.13300000000000001</v>
      </c>
      <c r="R43" s="4">
        <v>0.45900000000000002</v>
      </c>
      <c r="S43" s="18">
        <v>3.4529999999999998</v>
      </c>
      <c r="T43" s="10">
        <v>1281983</v>
      </c>
      <c r="U43" s="10">
        <v>276744</v>
      </c>
      <c r="V43" s="11">
        <v>0.216</v>
      </c>
      <c r="W43" s="12">
        <f>IF(raceday_22_23[[#This Row],[Last Year Turnover]]=0, "No Corresponding PY Meeting", (raceday_22_23[[#This Row],[Betcha Inc. TO]]-raceday_22_23[[#This Row],[Last Year Turnover]])/raceday_22_23[[#This Row],[Last Year Turnover]])</f>
        <v>-6.8923963344288533E-2</v>
      </c>
      <c r="X43" s="3">
        <f>MONTH(raceday_22_23[[#This Row],[Raceday Date]])</f>
        <v>9</v>
      </c>
      <c r="Y4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3" s="3" t="str">
        <f>raceday_22_23[[#This Row],[Raceday Date]]&amp;raceday_22_23[[#This Row],[Club]]</f>
        <v>45562NZ Metropolitan Trotting Club Inc</v>
      </c>
      <c r="AA43" s="5">
        <f>0.03*raceday_22_23[[#This Row],[Export TO (AUD)]]</f>
        <v>8928.09</v>
      </c>
      <c r="AB43" s="5">
        <f>_xlfn.XLOOKUP(raceday_22_23[[#This Row],[Helper]],'Betcha Integrated'!A:A,'Betcha Integrated'!F:F, 0)</f>
        <v>1193623.650699999</v>
      </c>
      <c r="AC43" s="5">
        <f>_xlfn.XLOOKUP(raceday_22_23[[#This Row],[Helper]],'Betcha Integrated'!A:A,'Betcha Integrated'!G:G, 0)</f>
        <v>151826.8330499999</v>
      </c>
      <c r="AD43" s="5">
        <f>raceday_22_23[[#This Row],[Export Earned]]+raceday_22_23[[#This Row],[Betcha Inc. GBR]]</f>
        <v>160754.9230499999</v>
      </c>
      <c r="AE43" s="88">
        <f>ROUND(raceday_22_23[[#This Row],[Fav. Win %]]*raceday_22_23[[#This Row],[Races]], 0)</f>
        <v>6</v>
      </c>
    </row>
    <row r="44" spans="1:31" x14ac:dyDescent="0.3">
      <c r="A44" s="8">
        <v>45564</v>
      </c>
      <c r="B44" s="3" t="s">
        <v>82</v>
      </c>
      <c r="C44" s="3" t="s">
        <v>95</v>
      </c>
      <c r="D44" s="3" t="s">
        <v>81</v>
      </c>
      <c r="E44" s="3">
        <v>12</v>
      </c>
      <c r="F44" s="3">
        <v>141</v>
      </c>
      <c r="G44" s="3">
        <v>11.8</v>
      </c>
      <c r="H44" s="4">
        <v>0.16700000000000001</v>
      </c>
      <c r="I44" s="5">
        <v>135388</v>
      </c>
      <c r="J44" s="5">
        <v>11282</v>
      </c>
      <c r="K44" s="4">
        <v>2.1549999999999998</v>
      </c>
      <c r="L44" s="4">
        <v>8.3000000000000004E-2</v>
      </c>
      <c r="M44" s="5">
        <v>1167384</v>
      </c>
      <c r="N44" s="5">
        <v>291705</v>
      </c>
      <c r="O44" s="5">
        <v>154189.5</v>
      </c>
      <c r="P44" s="5">
        <v>179205</v>
      </c>
      <c r="Q44" s="4">
        <v>0.25</v>
      </c>
      <c r="R44" s="4">
        <v>1.8919999999999999</v>
      </c>
      <c r="S44" s="18">
        <v>7.5709999999999997</v>
      </c>
      <c r="T44" s="10">
        <v>1112038</v>
      </c>
      <c r="U44" s="10">
        <v>270872</v>
      </c>
      <c r="V44" s="11">
        <v>0.24399999999999999</v>
      </c>
      <c r="W44" s="12">
        <f>IF(raceday_22_23[[#This Row],[Last Year Turnover]]=0, "No Corresponding PY Meeting", (raceday_22_23[[#This Row],[Betcha Inc. TO]]-raceday_22_23[[#This Row],[Last Year Turnover]])/raceday_22_23[[#This Row],[Last Year Turnover]])</f>
        <v>9.0461877921437062E-2</v>
      </c>
      <c r="X44" s="3">
        <f>MONTH(raceday_22_23[[#This Row],[Raceday Date]])</f>
        <v>9</v>
      </c>
      <c r="Y4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4" s="3" t="str">
        <f>raceday_22_23[[#This Row],[Raceday Date]]&amp;raceday_22_23[[#This Row],[Club]]</f>
        <v>45564Timaru Harness Racing Club Inc</v>
      </c>
      <c r="AA44" s="5">
        <f>0.03*raceday_22_23[[#This Row],[Export TO (AUD)]]</f>
        <v>5376.15</v>
      </c>
      <c r="AB44" s="5">
        <f>_xlfn.XLOOKUP(raceday_22_23[[#This Row],[Helper]],'Betcha Integrated'!A:A,'Betcha Integrated'!F:F, 0)</f>
        <v>1212635.045799999</v>
      </c>
      <c r="AC44" s="5">
        <f>_xlfn.XLOOKUP(raceday_22_23[[#This Row],[Helper]],'Betcha Integrated'!A:A,'Betcha Integrated'!G:G, 0)</f>
        <v>296879.559249999</v>
      </c>
      <c r="AD44" s="5">
        <f>raceday_22_23[[#This Row],[Export Earned]]+raceday_22_23[[#This Row],[Betcha Inc. GBR]]</f>
        <v>302255.70924999902</v>
      </c>
      <c r="AE44" s="88">
        <f>ROUND(raceday_22_23[[#This Row],[Fav. Win %]]*raceday_22_23[[#This Row],[Races]], 0)</f>
        <v>2</v>
      </c>
    </row>
    <row r="45" spans="1:31" x14ac:dyDescent="0.3">
      <c r="A45" s="8">
        <v>45566</v>
      </c>
      <c r="B45" s="3" t="s">
        <v>83</v>
      </c>
      <c r="C45" s="3" t="s">
        <v>84</v>
      </c>
      <c r="D45" s="3" t="s">
        <v>79</v>
      </c>
      <c r="E45" s="3">
        <v>8</v>
      </c>
      <c r="F45" s="3">
        <v>60</v>
      </c>
      <c r="G45" s="3">
        <v>7.5</v>
      </c>
      <c r="H45" s="4">
        <v>0.25</v>
      </c>
      <c r="I45" s="5">
        <v>67566</v>
      </c>
      <c r="J45" s="5">
        <v>8446</v>
      </c>
      <c r="K45" s="4">
        <v>0.97199999999999998</v>
      </c>
      <c r="L45" s="4">
        <v>0.125</v>
      </c>
      <c r="M45" s="5">
        <v>319135</v>
      </c>
      <c r="N45" s="5">
        <v>65658</v>
      </c>
      <c r="O45" s="5">
        <v>92857.49</v>
      </c>
      <c r="P45" s="5">
        <v>162314</v>
      </c>
      <c r="Q45" s="4">
        <v>0.20599999999999999</v>
      </c>
      <c r="R45" s="4">
        <v>0.70699999999999996</v>
      </c>
      <c r="S45" s="18">
        <v>3.4369999999999998</v>
      </c>
      <c r="T45" s="10">
        <v>0</v>
      </c>
      <c r="U45" s="10">
        <v>0</v>
      </c>
      <c r="V45" s="11">
        <v>0</v>
      </c>
      <c r="W4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45" s="3">
        <f>MONTH(raceday_22_23[[#This Row],[Raceday Date]])</f>
        <v>10</v>
      </c>
      <c r="Y4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5" s="3" t="str">
        <f>raceday_22_23[[#This Row],[Raceday Date]]&amp;raceday_22_23[[#This Row],[Club]]</f>
        <v>45566Waikato Bay of Plenty Harness Inc</v>
      </c>
      <c r="AA45" s="5">
        <f>0.03*raceday_22_23[[#This Row],[Export TO (AUD)]]</f>
        <v>4869.42</v>
      </c>
      <c r="AB45" s="5">
        <f>_xlfn.XLOOKUP(raceday_22_23[[#This Row],[Helper]],'Betcha Integrated'!A:A,'Betcha Integrated'!F:F, 0)</f>
        <v>331863.57119999896</v>
      </c>
      <c r="AC45" s="5">
        <f>_xlfn.XLOOKUP(raceday_22_23[[#This Row],[Helper]],'Betcha Integrated'!A:A,'Betcha Integrated'!G:G, 0)</f>
        <v>70150.3011999999</v>
      </c>
      <c r="AD45" s="5">
        <f>raceday_22_23[[#This Row],[Export Earned]]+raceday_22_23[[#This Row],[Betcha Inc. GBR]]</f>
        <v>75019.721199999898</v>
      </c>
      <c r="AE45" s="88">
        <f>ROUND(raceday_22_23[[#This Row],[Fav. Win %]]*raceday_22_23[[#This Row],[Races]], 0)</f>
        <v>2</v>
      </c>
    </row>
    <row r="46" spans="1:31" x14ac:dyDescent="0.3">
      <c r="A46" s="8">
        <v>45568</v>
      </c>
      <c r="B46" s="3" t="s">
        <v>74</v>
      </c>
      <c r="C46" s="3" t="s">
        <v>80</v>
      </c>
      <c r="D46" s="3" t="s">
        <v>81</v>
      </c>
      <c r="E46" s="3">
        <v>12</v>
      </c>
      <c r="F46" s="3">
        <v>143</v>
      </c>
      <c r="G46" s="3">
        <v>11.9</v>
      </c>
      <c r="H46" s="4">
        <v>0.5</v>
      </c>
      <c r="I46" s="5">
        <v>241555</v>
      </c>
      <c r="J46" s="5">
        <v>20130</v>
      </c>
      <c r="K46" s="4">
        <v>0.3</v>
      </c>
      <c r="L46" s="4">
        <v>8.3000000000000004E-2</v>
      </c>
      <c r="M46" s="5">
        <v>1222144</v>
      </c>
      <c r="N46" s="5">
        <v>72429</v>
      </c>
      <c r="O46" s="5">
        <v>279356.92</v>
      </c>
      <c r="P46" s="5">
        <v>497511</v>
      </c>
      <c r="Q46" s="4">
        <v>5.8999999999999997E-2</v>
      </c>
      <c r="R46" s="4">
        <v>0.25900000000000001</v>
      </c>
      <c r="S46" s="18">
        <v>4.375</v>
      </c>
      <c r="T46" s="10">
        <v>961904</v>
      </c>
      <c r="U46" s="10">
        <v>215657</v>
      </c>
      <c r="V46" s="11">
        <v>0.224</v>
      </c>
      <c r="W46" s="12">
        <f>IF(raceday_22_23[[#This Row],[Last Year Turnover]]=0, "No Corresponding PY Meeting", (raceday_22_23[[#This Row],[Betcha Inc. TO]]-raceday_22_23[[#This Row],[Last Year Turnover]])/raceday_22_23[[#This Row],[Last Year Turnover]])</f>
        <v>0.30807513650010698</v>
      </c>
      <c r="X46" s="3">
        <f>MONTH(raceday_22_23[[#This Row],[Raceday Date]])</f>
        <v>10</v>
      </c>
      <c r="Y4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6" s="3" t="str">
        <f>raceday_22_23[[#This Row],[Raceday Date]]&amp;raceday_22_23[[#This Row],[Club]]</f>
        <v>45568NZ Metropolitan Trotting Club Inc</v>
      </c>
      <c r="AA46" s="5">
        <f>0.03*raceday_22_23[[#This Row],[Export TO (AUD)]]</f>
        <v>14925.33</v>
      </c>
      <c r="AB46" s="5">
        <f>_xlfn.XLOOKUP(raceday_22_23[[#This Row],[Helper]],'Betcha Integrated'!A:A,'Betcha Integrated'!F:F, 0)</f>
        <v>1258242.7060999989</v>
      </c>
      <c r="AC46" s="5">
        <f>_xlfn.XLOOKUP(raceday_22_23[[#This Row],[Helper]],'Betcha Integrated'!A:A,'Betcha Integrated'!G:G, 0)</f>
        <v>68239.414999999906</v>
      </c>
      <c r="AD46" s="5">
        <f>raceday_22_23[[#This Row],[Export Earned]]+raceday_22_23[[#This Row],[Betcha Inc. GBR]]</f>
        <v>83164.744999999908</v>
      </c>
      <c r="AE46" s="88">
        <f>ROUND(raceday_22_23[[#This Row],[Fav. Win %]]*raceday_22_23[[#This Row],[Races]], 0)</f>
        <v>6</v>
      </c>
    </row>
    <row r="47" spans="1:31" x14ac:dyDescent="0.3">
      <c r="A47" s="8">
        <v>45569</v>
      </c>
      <c r="B47" s="3" t="s">
        <v>77</v>
      </c>
      <c r="C47" s="3" t="s">
        <v>78</v>
      </c>
      <c r="D47" s="3" t="s">
        <v>79</v>
      </c>
      <c r="E47" s="3">
        <v>9</v>
      </c>
      <c r="F47" s="3">
        <v>78</v>
      </c>
      <c r="G47" s="3">
        <v>8.6999999999999993</v>
      </c>
      <c r="H47" s="4">
        <v>0.44400000000000001</v>
      </c>
      <c r="I47" s="5">
        <v>170889</v>
      </c>
      <c r="J47" s="5">
        <v>18988</v>
      </c>
      <c r="K47" s="4">
        <v>0.82699999999999996</v>
      </c>
      <c r="L47" s="4">
        <v>0.111</v>
      </c>
      <c r="M47" s="5">
        <v>775174</v>
      </c>
      <c r="N47" s="5">
        <v>141326</v>
      </c>
      <c r="O47" s="5">
        <v>197190.63</v>
      </c>
      <c r="P47" s="5">
        <v>218252</v>
      </c>
      <c r="Q47" s="4">
        <v>0.182</v>
      </c>
      <c r="R47" s="4">
        <v>0.71699999999999997</v>
      </c>
      <c r="S47" s="18">
        <v>3.931</v>
      </c>
      <c r="T47" s="10">
        <v>697349</v>
      </c>
      <c r="U47" s="10">
        <v>59345</v>
      </c>
      <c r="V47" s="11">
        <v>8.5000000000000006E-2</v>
      </c>
      <c r="W47" s="12">
        <f>IF(raceday_22_23[[#This Row],[Last Year Turnover]]=0, "No Corresponding PY Meeting", (raceday_22_23[[#This Row],[Betcha Inc. TO]]-raceday_22_23[[#This Row],[Last Year Turnover]])/raceday_22_23[[#This Row],[Last Year Turnover]])</f>
        <v>0.15300115609257342</v>
      </c>
      <c r="X47" s="3">
        <f>MONTH(raceday_22_23[[#This Row],[Raceday Date]])</f>
        <v>10</v>
      </c>
      <c r="Y4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7" s="3" t="str">
        <f>raceday_22_23[[#This Row],[Raceday Date]]&amp;raceday_22_23[[#This Row],[Club]]</f>
        <v>45569Auckland Trotting Club Inc</v>
      </c>
      <c r="AA47" s="5">
        <f>0.03*raceday_22_23[[#This Row],[Export TO (AUD)]]</f>
        <v>6547.5599999999995</v>
      </c>
      <c r="AB47" s="5">
        <f>_xlfn.XLOOKUP(raceday_22_23[[#This Row],[Helper]],'Betcha Integrated'!A:A,'Betcha Integrated'!F:F, 0)</f>
        <v>804044.20319999999</v>
      </c>
      <c r="AC47" s="5">
        <f>_xlfn.XLOOKUP(raceday_22_23[[#This Row],[Helper]],'Betcha Integrated'!A:A,'Betcha Integrated'!G:G, 0)</f>
        <v>150005.7353</v>
      </c>
      <c r="AD47" s="5">
        <f>raceday_22_23[[#This Row],[Export Earned]]+raceday_22_23[[#This Row],[Betcha Inc. GBR]]</f>
        <v>156553.2953</v>
      </c>
      <c r="AE47" s="88">
        <f>ROUND(raceday_22_23[[#This Row],[Fav. Win %]]*raceday_22_23[[#This Row],[Races]], 0)</f>
        <v>4</v>
      </c>
    </row>
    <row r="48" spans="1:31" x14ac:dyDescent="0.3">
      <c r="A48" s="8">
        <v>45569</v>
      </c>
      <c r="B48" s="3" t="s">
        <v>77</v>
      </c>
      <c r="C48" s="3" t="s">
        <v>90</v>
      </c>
      <c r="D48" s="3" t="s">
        <v>76</v>
      </c>
      <c r="E48" s="3">
        <v>9</v>
      </c>
      <c r="F48" s="3">
        <v>71</v>
      </c>
      <c r="G48" s="3">
        <v>7.9</v>
      </c>
      <c r="H48" s="4">
        <v>0.222</v>
      </c>
      <c r="I48" s="5">
        <v>97335</v>
      </c>
      <c r="J48" s="5">
        <v>10815</v>
      </c>
      <c r="K48" s="4">
        <v>1.7190000000000001</v>
      </c>
      <c r="L48" s="4">
        <v>0.111</v>
      </c>
      <c r="M48" s="5">
        <v>511718</v>
      </c>
      <c r="N48" s="5">
        <v>167274</v>
      </c>
      <c r="O48" s="5">
        <v>133771.70000000001</v>
      </c>
      <c r="P48" s="5">
        <v>224500</v>
      </c>
      <c r="Q48" s="4">
        <v>0.32700000000000001</v>
      </c>
      <c r="R48" s="4">
        <v>1.25</v>
      </c>
      <c r="S48" s="18">
        <v>3.8250000000000002</v>
      </c>
      <c r="T48" s="10">
        <v>635260</v>
      </c>
      <c r="U48" s="10">
        <v>131774</v>
      </c>
      <c r="V48" s="11">
        <v>0.20699999999999999</v>
      </c>
      <c r="W48" s="12">
        <f>IF(raceday_22_23[[#This Row],[Last Year Turnover]]=0, "No Corresponding PY Meeting", (raceday_22_23[[#This Row],[Betcha Inc. TO]]-raceday_22_23[[#This Row],[Last Year Turnover]])/raceday_22_23[[#This Row],[Last Year Turnover]])</f>
        <v>-0.16476374161760701</v>
      </c>
      <c r="X48" s="3">
        <f>MONTH(raceday_22_23[[#This Row],[Raceday Date]])</f>
        <v>10</v>
      </c>
      <c r="Y4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8" s="3" t="str">
        <f>raceday_22_23[[#This Row],[Raceday Date]]&amp;raceday_22_23[[#This Row],[Club]]</f>
        <v>45569Wyndham Harness Racing Club Inc</v>
      </c>
      <c r="AA48" s="5">
        <f>0.03*raceday_22_23[[#This Row],[Export TO (AUD)]]</f>
        <v>6735</v>
      </c>
      <c r="AB48" s="5">
        <f>_xlfn.XLOOKUP(raceday_22_23[[#This Row],[Helper]],'Betcha Integrated'!A:A,'Betcha Integrated'!F:F, 0)</f>
        <v>530592.18549999897</v>
      </c>
      <c r="AC48" s="5">
        <f>_xlfn.XLOOKUP(raceday_22_23[[#This Row],[Helper]],'Betcha Integrated'!A:A,'Betcha Integrated'!G:G, 0)</f>
        <v>173319.47489999991</v>
      </c>
      <c r="AD48" s="5">
        <f>raceday_22_23[[#This Row],[Export Earned]]+raceday_22_23[[#This Row],[Betcha Inc. GBR]]</f>
        <v>180054.47489999991</v>
      </c>
      <c r="AE48" s="88">
        <f>ROUND(raceday_22_23[[#This Row],[Fav. Win %]]*raceday_22_23[[#This Row],[Races]], 0)</f>
        <v>2</v>
      </c>
    </row>
    <row r="49" spans="1:31" x14ac:dyDescent="0.3">
      <c r="A49" s="8">
        <v>45571</v>
      </c>
      <c r="B49" s="3" t="s">
        <v>82</v>
      </c>
      <c r="C49" s="3" t="s">
        <v>91</v>
      </c>
      <c r="D49" s="3" t="s">
        <v>81</v>
      </c>
      <c r="E49" s="3">
        <v>11</v>
      </c>
      <c r="F49" s="3">
        <v>154</v>
      </c>
      <c r="G49" s="3">
        <v>14</v>
      </c>
      <c r="H49" s="4">
        <v>0</v>
      </c>
      <c r="I49" s="5">
        <v>187248</v>
      </c>
      <c r="J49" s="5">
        <v>17023</v>
      </c>
      <c r="K49" s="4">
        <v>2.887</v>
      </c>
      <c r="L49" s="4">
        <v>0.182</v>
      </c>
      <c r="M49" s="5">
        <v>1761988</v>
      </c>
      <c r="N49" s="5">
        <v>540667</v>
      </c>
      <c r="O49" s="5">
        <v>215213.15</v>
      </c>
      <c r="P49" s="5">
        <v>301243</v>
      </c>
      <c r="Q49" s="4">
        <v>0.307</v>
      </c>
      <c r="R49" s="4">
        <v>2.512</v>
      </c>
      <c r="S49" s="18">
        <v>8.1869999999999994</v>
      </c>
      <c r="T49" s="10">
        <v>1447838</v>
      </c>
      <c r="U49" s="10">
        <v>299423</v>
      </c>
      <c r="V49" s="11">
        <v>0.20699999999999999</v>
      </c>
      <c r="W49" s="12">
        <f>IF(raceday_22_23[[#This Row],[Last Year Turnover]]=0, "No Corresponding PY Meeting", (raceday_22_23[[#This Row],[Betcha Inc. TO]]-raceday_22_23[[#This Row],[Last Year Turnover]])/raceday_22_23[[#This Row],[Last Year Turnover]])</f>
        <v>0.24843173794305656</v>
      </c>
      <c r="X49" s="3">
        <f>MONTH(raceday_22_23[[#This Row],[Raceday Date]])</f>
        <v>10</v>
      </c>
      <c r="Y4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49" s="3" t="str">
        <f>raceday_22_23[[#This Row],[Raceday Date]]&amp;raceday_22_23[[#This Row],[Club]]</f>
        <v>45571Methven Trotting Club Inc</v>
      </c>
      <c r="AA49" s="5">
        <f>0.03*raceday_22_23[[#This Row],[Export TO (AUD)]]</f>
        <v>9037.2899999999991</v>
      </c>
      <c r="AB49" s="5">
        <f>_xlfn.XLOOKUP(raceday_22_23[[#This Row],[Helper]],'Betcha Integrated'!A:A,'Betcha Integrated'!F:F, 0)</f>
        <v>1807526.9105999991</v>
      </c>
      <c r="AC49" s="5">
        <f>_xlfn.XLOOKUP(raceday_22_23[[#This Row],[Helper]],'Betcha Integrated'!A:A,'Betcha Integrated'!G:G, 0)</f>
        <v>564335.17044999904</v>
      </c>
      <c r="AD49" s="5">
        <f>raceday_22_23[[#This Row],[Export Earned]]+raceday_22_23[[#This Row],[Betcha Inc. GBR]]</f>
        <v>573372.46044999908</v>
      </c>
      <c r="AE49" s="88">
        <f>ROUND(raceday_22_23[[#This Row],[Fav. Win %]]*raceday_22_23[[#This Row],[Races]], 0)</f>
        <v>0</v>
      </c>
    </row>
    <row r="50" spans="1:31" x14ac:dyDescent="0.3">
      <c r="A50" s="8">
        <v>45573</v>
      </c>
      <c r="B50" s="3" t="s">
        <v>83</v>
      </c>
      <c r="C50" s="3" t="s">
        <v>84</v>
      </c>
      <c r="D50" s="3" t="s">
        <v>79</v>
      </c>
      <c r="E50" s="3">
        <v>8</v>
      </c>
      <c r="F50" s="3">
        <v>60</v>
      </c>
      <c r="G50" s="3">
        <v>7.5</v>
      </c>
      <c r="H50" s="4">
        <v>0.375</v>
      </c>
      <c r="I50" s="5">
        <v>58960</v>
      </c>
      <c r="J50" s="5">
        <v>7370</v>
      </c>
      <c r="K50" s="4">
        <v>1.048</v>
      </c>
      <c r="L50" s="4">
        <v>0.125</v>
      </c>
      <c r="M50" s="5">
        <v>341537</v>
      </c>
      <c r="N50" s="5">
        <v>61768</v>
      </c>
      <c r="O50" s="5">
        <v>84251.24</v>
      </c>
      <c r="P50" s="5">
        <v>190968</v>
      </c>
      <c r="Q50" s="4">
        <v>0.18099999999999999</v>
      </c>
      <c r="R50" s="4">
        <v>0.73299999999999998</v>
      </c>
      <c r="S50" s="18">
        <v>4.0540000000000003</v>
      </c>
      <c r="T50" s="10">
        <v>0</v>
      </c>
      <c r="U50" s="10">
        <v>0</v>
      </c>
      <c r="V50" s="11">
        <v>0</v>
      </c>
      <c r="W5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0" s="3">
        <f>MONTH(raceday_22_23[[#This Row],[Raceday Date]])</f>
        <v>10</v>
      </c>
      <c r="Y5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0" s="3" t="str">
        <f>raceday_22_23[[#This Row],[Raceday Date]]&amp;raceday_22_23[[#This Row],[Club]]</f>
        <v>45573Waikato Bay of Plenty Harness Inc</v>
      </c>
      <c r="AA50" s="5">
        <f>0.03*raceday_22_23[[#This Row],[Export TO (AUD)]]</f>
        <v>5729.04</v>
      </c>
      <c r="AB50" s="5">
        <f>_xlfn.XLOOKUP(raceday_22_23[[#This Row],[Helper]],'Betcha Integrated'!A:A,'Betcha Integrated'!F:F, 0)</f>
        <v>353397.33359999902</v>
      </c>
      <c r="AC50" s="5">
        <f>_xlfn.XLOOKUP(raceday_22_23[[#This Row],[Helper]],'Betcha Integrated'!A:A,'Betcha Integrated'!G:G, 0)</f>
        <v>64622.7573999999</v>
      </c>
      <c r="AD50" s="5">
        <f>raceday_22_23[[#This Row],[Export Earned]]+raceday_22_23[[#This Row],[Betcha Inc. GBR]]</f>
        <v>70351.797399999894</v>
      </c>
      <c r="AE50" s="88">
        <f>ROUND(raceday_22_23[[#This Row],[Fav. Win %]]*raceday_22_23[[#This Row],[Races]], 0)</f>
        <v>3</v>
      </c>
    </row>
    <row r="51" spans="1:31" x14ac:dyDescent="0.3">
      <c r="A51" s="8">
        <v>45574</v>
      </c>
      <c r="B51" s="3" t="s">
        <v>96</v>
      </c>
      <c r="C51" s="3" t="s">
        <v>80</v>
      </c>
      <c r="D51" s="3" t="s">
        <v>81</v>
      </c>
      <c r="E51" s="3">
        <v>8</v>
      </c>
      <c r="F51" s="3">
        <v>82</v>
      </c>
      <c r="G51" s="3">
        <v>10.199999999999999</v>
      </c>
      <c r="H51" s="4">
        <v>0.25</v>
      </c>
      <c r="I51" s="5">
        <v>62040</v>
      </c>
      <c r="J51" s="5">
        <v>7755</v>
      </c>
      <c r="K51" s="4">
        <v>1.3540000000000001</v>
      </c>
      <c r="L51" s="4">
        <v>0</v>
      </c>
      <c r="M51" s="5">
        <v>464051</v>
      </c>
      <c r="N51" s="5">
        <v>84025</v>
      </c>
      <c r="O51" s="5">
        <v>99736.92</v>
      </c>
      <c r="P51" s="5">
        <v>248424</v>
      </c>
      <c r="Q51" s="4">
        <v>0.18099999999999999</v>
      </c>
      <c r="R51" s="4">
        <v>0.84199999999999997</v>
      </c>
      <c r="S51" s="18">
        <v>4.6529999999999996</v>
      </c>
      <c r="T51" s="10">
        <v>0</v>
      </c>
      <c r="U51" s="10">
        <v>0</v>
      </c>
      <c r="V51" s="11">
        <v>0</v>
      </c>
      <c r="W51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1" s="3">
        <f>MONTH(raceday_22_23[[#This Row],[Raceday Date]])</f>
        <v>10</v>
      </c>
      <c r="Y5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1" s="3" t="str">
        <f>raceday_22_23[[#This Row],[Raceday Date]]&amp;raceday_22_23[[#This Row],[Club]]</f>
        <v>45574NZ Metropolitan Trotting Club Inc</v>
      </c>
      <c r="AA51" s="5">
        <f>0.03*raceday_22_23[[#This Row],[Export TO (AUD)]]</f>
        <v>7452.7199999999993</v>
      </c>
      <c r="AB51" s="5">
        <f>_xlfn.XLOOKUP(raceday_22_23[[#This Row],[Helper]],'Betcha Integrated'!A:A,'Betcha Integrated'!F:F, 0)</f>
        <v>485279.23699999903</v>
      </c>
      <c r="AC51" s="5">
        <f>_xlfn.XLOOKUP(raceday_22_23[[#This Row],[Helper]],'Betcha Integrated'!A:A,'Betcha Integrated'!G:G, 0)</f>
        <v>88650.8875999999</v>
      </c>
      <c r="AD51" s="5">
        <f>raceday_22_23[[#This Row],[Export Earned]]+raceday_22_23[[#This Row],[Betcha Inc. GBR]]</f>
        <v>96103.607599999901</v>
      </c>
      <c r="AE51" s="88">
        <f>ROUND(raceday_22_23[[#This Row],[Fav. Win %]]*raceday_22_23[[#This Row],[Races]], 0)</f>
        <v>2</v>
      </c>
    </row>
    <row r="52" spans="1:31" x14ac:dyDescent="0.3">
      <c r="A52" s="8">
        <v>45575</v>
      </c>
      <c r="B52" s="3" t="s">
        <v>74</v>
      </c>
      <c r="C52" s="3" t="s">
        <v>97</v>
      </c>
      <c r="D52" s="3" t="s">
        <v>76</v>
      </c>
      <c r="E52" s="3">
        <v>10</v>
      </c>
      <c r="F52" s="3">
        <v>76</v>
      </c>
      <c r="G52" s="3">
        <v>7.6</v>
      </c>
      <c r="H52" s="4">
        <v>0.5</v>
      </c>
      <c r="I52" s="5">
        <v>118710</v>
      </c>
      <c r="J52" s="5">
        <v>11871</v>
      </c>
      <c r="K52" s="4">
        <v>1.286</v>
      </c>
      <c r="L52" s="4">
        <v>0</v>
      </c>
      <c r="M52" s="5">
        <v>547827</v>
      </c>
      <c r="N52" s="5">
        <v>152642</v>
      </c>
      <c r="O52" s="5">
        <v>136141.24</v>
      </c>
      <c r="P52" s="5">
        <v>288597</v>
      </c>
      <c r="Q52" s="4">
        <v>0.27900000000000003</v>
      </c>
      <c r="R52" s="4">
        <v>1.121</v>
      </c>
      <c r="S52" s="18">
        <v>4.024</v>
      </c>
      <c r="T52" s="10">
        <v>359124</v>
      </c>
      <c r="U52" s="10">
        <v>81838</v>
      </c>
      <c r="V52" s="11">
        <v>0.22800000000000001</v>
      </c>
      <c r="W52" s="12">
        <f>IF(raceday_22_23[[#This Row],[Last Year Turnover]]=0, "No Corresponding PY Meeting", (raceday_22_23[[#This Row],[Betcha Inc. TO]]-raceday_22_23[[#This Row],[Last Year Turnover]])/raceday_22_23[[#This Row],[Last Year Turnover]])</f>
        <v>0.58502727330949467</v>
      </c>
      <c r="X52" s="3">
        <f>MONTH(raceday_22_23[[#This Row],[Raceday Date]])</f>
        <v>10</v>
      </c>
      <c r="Y5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2" s="3" t="str">
        <f>raceday_22_23[[#This Row],[Raceday Date]]&amp;raceday_22_23[[#This Row],[Club]]</f>
        <v>45575Northern Southland Trotting Club Inc</v>
      </c>
      <c r="AA52" s="5">
        <f>0.03*raceday_22_23[[#This Row],[Export TO (AUD)]]</f>
        <v>8657.91</v>
      </c>
      <c r="AB52" s="5">
        <f>_xlfn.XLOOKUP(raceday_22_23[[#This Row],[Helper]],'Betcha Integrated'!A:A,'Betcha Integrated'!F:F, 0)</f>
        <v>569221.33449999895</v>
      </c>
      <c r="AC52" s="5">
        <f>_xlfn.XLOOKUP(raceday_22_23[[#This Row],[Helper]],'Betcha Integrated'!A:A,'Betcha Integrated'!G:G, 0)</f>
        <v>159046.6374999999</v>
      </c>
      <c r="AD52" s="5">
        <f>raceday_22_23[[#This Row],[Export Earned]]+raceday_22_23[[#This Row],[Betcha Inc. GBR]]</f>
        <v>167704.5474999999</v>
      </c>
      <c r="AE52" s="88">
        <f>ROUND(raceday_22_23[[#This Row],[Fav. Win %]]*raceday_22_23[[#This Row],[Races]], 0)</f>
        <v>5</v>
      </c>
    </row>
    <row r="53" spans="1:31" x14ac:dyDescent="0.3">
      <c r="A53" s="8">
        <v>45576</v>
      </c>
      <c r="B53" s="3" t="s">
        <v>77</v>
      </c>
      <c r="C53" s="3" t="s">
        <v>80</v>
      </c>
      <c r="D53" s="3" t="s">
        <v>81</v>
      </c>
      <c r="E53" s="3">
        <v>12</v>
      </c>
      <c r="F53" s="3">
        <v>140</v>
      </c>
      <c r="G53" s="3">
        <v>11.7</v>
      </c>
      <c r="H53" s="4">
        <v>0.75</v>
      </c>
      <c r="I53" s="5">
        <v>768514</v>
      </c>
      <c r="J53" s="5">
        <v>64043</v>
      </c>
      <c r="K53" s="4">
        <v>0.16300000000000001</v>
      </c>
      <c r="L53" s="4">
        <v>0.16700000000000001</v>
      </c>
      <c r="M53" s="5">
        <v>1543873</v>
      </c>
      <c r="N53" s="5">
        <v>125228</v>
      </c>
      <c r="O53" s="5">
        <v>806419.42</v>
      </c>
      <c r="P53" s="5">
        <v>437083</v>
      </c>
      <c r="Q53" s="4">
        <v>8.1000000000000003E-2</v>
      </c>
      <c r="R53" s="4">
        <v>0.155</v>
      </c>
      <c r="S53" s="18">
        <v>1.9139999999999999</v>
      </c>
      <c r="T53" s="10">
        <v>782205</v>
      </c>
      <c r="U53" s="10">
        <v>151646</v>
      </c>
      <c r="V53" s="11">
        <v>0.19400000000000001</v>
      </c>
      <c r="W53" s="12">
        <f>IF(raceday_22_23[[#This Row],[Last Year Turnover]]=0, "No Corresponding PY Meeting", (raceday_22_23[[#This Row],[Betcha Inc. TO]]-raceday_22_23[[#This Row],[Last Year Turnover]])/raceday_22_23[[#This Row],[Last Year Turnover]])</f>
        <v>1.0349415867962988</v>
      </c>
      <c r="X53" s="3">
        <f>MONTH(raceday_22_23[[#This Row],[Raceday Date]])</f>
        <v>10</v>
      </c>
      <c r="Y5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3" s="3" t="str">
        <f>raceday_22_23[[#This Row],[Raceday Date]]&amp;raceday_22_23[[#This Row],[Club]]</f>
        <v>45576NZ Metropolitan Trotting Club Inc</v>
      </c>
      <c r="AA53" s="5">
        <f>0.03*raceday_22_23[[#This Row],[Export TO (AUD)]]</f>
        <v>13112.49</v>
      </c>
      <c r="AB53" s="5">
        <f>_xlfn.XLOOKUP(raceday_22_23[[#This Row],[Helper]],'Betcha Integrated'!A:A,'Betcha Integrated'!F:F, 0)</f>
        <v>1591741.4838999989</v>
      </c>
      <c r="AC53" s="5">
        <f>_xlfn.XLOOKUP(raceday_22_23[[#This Row],[Helper]],'Betcha Integrated'!A:A,'Betcha Integrated'!G:G, 0)</f>
        <v>116763.43524999901</v>
      </c>
      <c r="AD53" s="5">
        <f>raceday_22_23[[#This Row],[Export Earned]]+raceday_22_23[[#This Row],[Betcha Inc. GBR]]</f>
        <v>129875.92524999901</v>
      </c>
      <c r="AE53" s="88">
        <f>ROUND(raceday_22_23[[#This Row],[Fav. Win %]]*raceday_22_23[[#This Row],[Races]], 0)</f>
        <v>9</v>
      </c>
    </row>
    <row r="54" spans="1:31" x14ac:dyDescent="0.3">
      <c r="A54" s="8">
        <v>45576</v>
      </c>
      <c r="B54" s="3" t="s">
        <v>77</v>
      </c>
      <c r="C54" s="3" t="s">
        <v>78</v>
      </c>
      <c r="D54" s="3" t="s">
        <v>79</v>
      </c>
      <c r="E54" s="3">
        <v>8</v>
      </c>
      <c r="F54" s="3">
        <v>61</v>
      </c>
      <c r="G54" s="3">
        <v>7.6</v>
      </c>
      <c r="H54" s="4">
        <v>0.25</v>
      </c>
      <c r="I54" s="5">
        <v>123483</v>
      </c>
      <c r="J54" s="5">
        <v>15435</v>
      </c>
      <c r="K54" s="4">
        <v>0.88600000000000001</v>
      </c>
      <c r="L54" s="4">
        <v>0.125</v>
      </c>
      <c r="M54" s="5">
        <v>419258</v>
      </c>
      <c r="N54" s="5">
        <v>109433</v>
      </c>
      <c r="O54" s="5">
        <v>149888.13</v>
      </c>
      <c r="P54" s="5">
        <v>156679</v>
      </c>
      <c r="Q54" s="4">
        <v>0.26100000000000001</v>
      </c>
      <c r="R54" s="4">
        <v>0.73</v>
      </c>
      <c r="S54" s="18">
        <v>2.7970000000000002</v>
      </c>
      <c r="T54" s="10">
        <v>0</v>
      </c>
      <c r="U54" s="10">
        <v>0</v>
      </c>
      <c r="V54" s="11">
        <v>0</v>
      </c>
      <c r="W54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4" s="3">
        <f>MONTH(raceday_22_23[[#This Row],[Raceday Date]])</f>
        <v>10</v>
      </c>
      <c r="Y5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4" s="3" t="str">
        <f>raceday_22_23[[#This Row],[Raceday Date]]&amp;raceday_22_23[[#This Row],[Club]]</f>
        <v>45576Auckland Trotting Club Inc</v>
      </c>
      <c r="AA54" s="5">
        <f>0.03*raceday_22_23[[#This Row],[Export TO (AUD)]]</f>
        <v>4700.37</v>
      </c>
      <c r="AB54" s="5">
        <f>_xlfn.XLOOKUP(raceday_22_23[[#This Row],[Helper]],'Betcha Integrated'!A:A,'Betcha Integrated'!F:F, 0)</f>
        <v>442587.73620000004</v>
      </c>
      <c r="AC54" s="5">
        <f>_xlfn.XLOOKUP(raceday_22_23[[#This Row],[Helper]],'Betcha Integrated'!A:A,'Betcha Integrated'!G:G, 0)</f>
        <v>116468.35274999999</v>
      </c>
      <c r="AD54" s="5">
        <f>raceday_22_23[[#This Row],[Export Earned]]+raceday_22_23[[#This Row],[Betcha Inc. GBR]]</f>
        <v>121168.72274999999</v>
      </c>
      <c r="AE54" s="88">
        <f>ROUND(raceday_22_23[[#This Row],[Fav. Win %]]*raceday_22_23[[#This Row],[Races]], 0)</f>
        <v>2</v>
      </c>
    </row>
    <row r="55" spans="1:31" x14ac:dyDescent="0.3">
      <c r="A55" s="8">
        <v>45578</v>
      </c>
      <c r="B55" s="3" t="s">
        <v>82</v>
      </c>
      <c r="C55" s="3" t="s">
        <v>92</v>
      </c>
      <c r="D55" s="3" t="s">
        <v>76</v>
      </c>
      <c r="E55" s="3">
        <v>12</v>
      </c>
      <c r="F55" s="3">
        <v>130</v>
      </c>
      <c r="G55" s="3">
        <v>10.8</v>
      </c>
      <c r="H55" s="4">
        <v>8.3000000000000004E-2</v>
      </c>
      <c r="I55" s="5">
        <v>141216</v>
      </c>
      <c r="J55" s="5">
        <v>11768</v>
      </c>
      <c r="K55" s="4">
        <v>1.5449999999999999</v>
      </c>
      <c r="L55" s="4">
        <v>0.25</v>
      </c>
      <c r="M55" s="5">
        <v>1117275</v>
      </c>
      <c r="N55" s="5">
        <v>218150</v>
      </c>
      <c r="O55" s="5">
        <v>167288.70000000001</v>
      </c>
      <c r="P55" s="5">
        <v>329613</v>
      </c>
      <c r="Q55" s="4">
        <v>0.19500000000000001</v>
      </c>
      <c r="R55" s="4">
        <v>1.304</v>
      </c>
      <c r="S55" s="18">
        <v>6.6790000000000003</v>
      </c>
      <c r="T55" s="10">
        <v>905925</v>
      </c>
      <c r="U55" s="10">
        <v>179285</v>
      </c>
      <c r="V55" s="11">
        <v>0.19800000000000001</v>
      </c>
      <c r="W55" s="12">
        <f>IF(raceday_22_23[[#This Row],[Last Year Turnover]]=0, "No Corresponding PY Meeting", (raceday_22_23[[#This Row],[Betcha Inc. TO]]-raceday_22_23[[#This Row],[Last Year Turnover]])/raceday_22_23[[#This Row],[Last Year Turnover]])</f>
        <v>0.27910509004608436</v>
      </c>
      <c r="X55" s="3">
        <f>MONTH(raceday_22_23[[#This Row],[Raceday Date]])</f>
        <v>10</v>
      </c>
      <c r="Y5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5" s="3" t="str">
        <f>raceday_22_23[[#This Row],[Raceday Date]]&amp;raceday_22_23[[#This Row],[Club]]</f>
        <v>45578Oamaru Harness Racing Club Inc</v>
      </c>
      <c r="AA55" s="5">
        <f>0.03*raceday_22_23[[#This Row],[Export TO (AUD)]]</f>
        <v>9888.39</v>
      </c>
      <c r="AB55" s="5">
        <f>_xlfn.XLOOKUP(raceday_22_23[[#This Row],[Helper]],'Betcha Integrated'!A:A,'Betcha Integrated'!F:F, 0)</f>
        <v>1158773.278699999</v>
      </c>
      <c r="AC55" s="5">
        <f>_xlfn.XLOOKUP(raceday_22_23[[#This Row],[Helper]],'Betcha Integrated'!A:A,'Betcha Integrated'!G:G, 0)</f>
        <v>228372.5308999999</v>
      </c>
      <c r="AD55" s="5">
        <f>raceday_22_23[[#This Row],[Export Earned]]+raceday_22_23[[#This Row],[Betcha Inc. GBR]]</f>
        <v>238260.92089999991</v>
      </c>
      <c r="AE55" s="88">
        <f>ROUND(raceday_22_23[[#This Row],[Fav. Win %]]*raceday_22_23[[#This Row],[Races]], 0)</f>
        <v>1</v>
      </c>
    </row>
    <row r="56" spans="1:31" x14ac:dyDescent="0.3">
      <c r="A56" s="8">
        <v>45580</v>
      </c>
      <c r="B56" s="3" t="s">
        <v>83</v>
      </c>
      <c r="C56" s="3" t="s">
        <v>84</v>
      </c>
      <c r="D56" s="3" t="s">
        <v>79</v>
      </c>
      <c r="E56" s="3">
        <v>7</v>
      </c>
      <c r="F56" s="3">
        <v>60</v>
      </c>
      <c r="G56" s="3">
        <v>8.6</v>
      </c>
      <c r="H56" s="4">
        <v>0.14299999999999999</v>
      </c>
      <c r="I56" s="5">
        <v>56605</v>
      </c>
      <c r="J56" s="5">
        <v>8086</v>
      </c>
      <c r="K56" s="4">
        <v>1.5389999999999999</v>
      </c>
      <c r="L56" s="4">
        <v>0.28599999999999998</v>
      </c>
      <c r="M56" s="5">
        <v>356638</v>
      </c>
      <c r="N56" s="5">
        <v>87129</v>
      </c>
      <c r="O56" s="5">
        <v>81931.240000000005</v>
      </c>
      <c r="P56" s="5">
        <v>282791</v>
      </c>
      <c r="Q56" s="4">
        <v>0.24399999999999999</v>
      </c>
      <c r="R56" s="4">
        <v>1.0629999999999999</v>
      </c>
      <c r="S56" s="18">
        <v>4.3529999999999998</v>
      </c>
      <c r="T56" s="10">
        <v>0</v>
      </c>
      <c r="U56" s="10">
        <v>0</v>
      </c>
      <c r="V56" s="11">
        <v>0</v>
      </c>
      <c r="W5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6" s="3">
        <f>MONTH(raceday_22_23[[#This Row],[Raceday Date]])</f>
        <v>10</v>
      </c>
      <c r="Y5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6" s="3" t="str">
        <f>raceday_22_23[[#This Row],[Raceday Date]]&amp;raceday_22_23[[#This Row],[Club]]</f>
        <v>45580Waikato Bay of Plenty Harness Inc</v>
      </c>
      <c r="AA56" s="5">
        <f>0.03*raceday_22_23[[#This Row],[Export TO (AUD)]]</f>
        <v>8483.73</v>
      </c>
      <c r="AB56" s="5">
        <f>_xlfn.XLOOKUP(raceday_22_23[[#This Row],[Helper]],'Betcha Integrated'!A:A,'Betcha Integrated'!F:F, 0)</f>
        <v>376456.47829999903</v>
      </c>
      <c r="AC56" s="5">
        <f>_xlfn.XLOOKUP(raceday_22_23[[#This Row],[Helper]],'Betcha Integrated'!A:A,'Betcha Integrated'!G:G, 0)</f>
        <v>97643.789999999892</v>
      </c>
      <c r="AD56" s="5">
        <f>raceday_22_23[[#This Row],[Export Earned]]+raceday_22_23[[#This Row],[Betcha Inc. GBR]]</f>
        <v>106127.51999999989</v>
      </c>
      <c r="AE56" s="88">
        <f>ROUND(raceday_22_23[[#This Row],[Fav. Win %]]*raceday_22_23[[#This Row],[Races]], 0)</f>
        <v>1</v>
      </c>
    </row>
    <row r="57" spans="1:31" x14ac:dyDescent="0.3">
      <c r="A57" s="8">
        <v>45581</v>
      </c>
      <c r="B57" s="3" t="s">
        <v>96</v>
      </c>
      <c r="C57" s="3" t="s">
        <v>80</v>
      </c>
      <c r="D57" s="3" t="s">
        <v>81</v>
      </c>
      <c r="E57" s="3">
        <v>8</v>
      </c>
      <c r="F57" s="3">
        <v>80</v>
      </c>
      <c r="G57" s="3">
        <v>10</v>
      </c>
      <c r="H57" s="4">
        <v>0.5</v>
      </c>
      <c r="I57" s="5">
        <v>65760</v>
      </c>
      <c r="J57" s="5">
        <v>8220</v>
      </c>
      <c r="K57" s="4">
        <v>0.73399999999999999</v>
      </c>
      <c r="L57" s="4">
        <v>0.125</v>
      </c>
      <c r="M57" s="5">
        <v>430360</v>
      </c>
      <c r="N57" s="5">
        <v>48281</v>
      </c>
      <c r="O57" s="5">
        <v>103561.92</v>
      </c>
      <c r="P57" s="5">
        <v>210726</v>
      </c>
      <c r="Q57" s="4">
        <v>0.112</v>
      </c>
      <c r="R57" s="4">
        <v>0.46600000000000003</v>
      </c>
      <c r="S57" s="18">
        <v>4.1559999999999997</v>
      </c>
      <c r="T57" s="10">
        <v>0</v>
      </c>
      <c r="U57" s="10">
        <v>0</v>
      </c>
      <c r="V57" s="11">
        <v>0</v>
      </c>
      <c r="W5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7" s="3">
        <f>MONTH(raceday_22_23[[#This Row],[Raceday Date]])</f>
        <v>10</v>
      </c>
      <c r="Y5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7" s="3" t="str">
        <f>raceday_22_23[[#This Row],[Raceday Date]]&amp;raceday_22_23[[#This Row],[Club]]</f>
        <v>45581NZ Metropolitan Trotting Club Inc</v>
      </c>
      <c r="AA57" s="5">
        <f>0.03*raceday_22_23[[#This Row],[Export TO (AUD)]]</f>
        <v>6321.78</v>
      </c>
      <c r="AB57" s="5">
        <f>_xlfn.XLOOKUP(raceday_22_23[[#This Row],[Helper]],'Betcha Integrated'!A:A,'Betcha Integrated'!F:F, 0)</f>
        <v>449420.30699999898</v>
      </c>
      <c r="AC57" s="5">
        <f>_xlfn.XLOOKUP(raceday_22_23[[#This Row],[Helper]],'Betcha Integrated'!A:A,'Betcha Integrated'!G:G, 0)</f>
        <v>52073.328099999897</v>
      </c>
      <c r="AD57" s="5">
        <f>raceday_22_23[[#This Row],[Export Earned]]+raceday_22_23[[#This Row],[Betcha Inc. GBR]]</f>
        <v>58395.108099999896</v>
      </c>
      <c r="AE57" s="88">
        <f>ROUND(raceday_22_23[[#This Row],[Fav. Win %]]*raceday_22_23[[#This Row],[Races]], 0)</f>
        <v>4</v>
      </c>
    </row>
    <row r="58" spans="1:31" x14ac:dyDescent="0.3">
      <c r="A58" s="8">
        <v>45583</v>
      </c>
      <c r="B58" s="3" t="s">
        <v>77</v>
      </c>
      <c r="C58" s="3" t="s">
        <v>80</v>
      </c>
      <c r="D58" s="3" t="s">
        <v>81</v>
      </c>
      <c r="E58" s="3">
        <v>13</v>
      </c>
      <c r="F58" s="3">
        <v>154</v>
      </c>
      <c r="G58" s="3">
        <v>11.8</v>
      </c>
      <c r="H58" s="4">
        <v>0.53800000000000003</v>
      </c>
      <c r="I58" s="5">
        <v>230263</v>
      </c>
      <c r="J58" s="5">
        <v>17713</v>
      </c>
      <c r="K58" s="4">
        <v>0.76900000000000002</v>
      </c>
      <c r="L58" s="4">
        <v>7.6999999999999999E-2</v>
      </c>
      <c r="M58" s="5">
        <v>1263378</v>
      </c>
      <c r="N58" s="5">
        <v>177041</v>
      </c>
      <c r="O58" s="5">
        <v>268169.42</v>
      </c>
      <c r="P58" s="5">
        <v>401274</v>
      </c>
      <c r="Q58" s="4">
        <v>0.14000000000000001</v>
      </c>
      <c r="R58" s="4">
        <v>0.66</v>
      </c>
      <c r="S58" s="18">
        <v>4.7110000000000003</v>
      </c>
      <c r="T58" s="10">
        <v>1143607</v>
      </c>
      <c r="U58" s="10">
        <v>279549</v>
      </c>
      <c r="V58" s="11">
        <v>0.24399999999999999</v>
      </c>
      <c r="W58" s="12">
        <f>IF(raceday_22_23[[#This Row],[Last Year Turnover]]=0, "No Corresponding PY Meeting", (raceday_22_23[[#This Row],[Betcha Inc. TO]]-raceday_22_23[[#This Row],[Last Year Turnover]])/raceday_22_23[[#This Row],[Last Year Turnover]])</f>
        <v>0.15387719365131466</v>
      </c>
      <c r="X58" s="3">
        <f>MONTH(raceday_22_23[[#This Row],[Raceday Date]])</f>
        <v>10</v>
      </c>
      <c r="Y5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8" s="3" t="str">
        <f>raceday_22_23[[#This Row],[Raceday Date]]&amp;raceday_22_23[[#This Row],[Club]]</f>
        <v>45583NZ Metropolitan Trotting Club Inc</v>
      </c>
      <c r="AA58" s="5">
        <f>0.03*raceday_22_23[[#This Row],[Export TO (AUD)]]</f>
        <v>12038.22</v>
      </c>
      <c r="AB58" s="5">
        <f>_xlfn.XLOOKUP(raceday_22_23[[#This Row],[Helper]],'Betcha Integrated'!A:A,'Betcha Integrated'!F:F, 0)</f>
        <v>1319582.035799999</v>
      </c>
      <c r="AC58" s="5">
        <f>_xlfn.XLOOKUP(raceday_22_23[[#This Row],[Helper]],'Betcha Integrated'!A:A,'Betcha Integrated'!G:G, 0)</f>
        <v>188134.27154999989</v>
      </c>
      <c r="AD58" s="5">
        <f>raceday_22_23[[#This Row],[Export Earned]]+raceday_22_23[[#This Row],[Betcha Inc. GBR]]</f>
        <v>200172.49154999989</v>
      </c>
      <c r="AE58" s="88">
        <f>ROUND(raceday_22_23[[#This Row],[Fav. Win %]]*raceday_22_23[[#This Row],[Races]], 0)</f>
        <v>7</v>
      </c>
    </row>
    <row r="59" spans="1:31" x14ac:dyDescent="0.3">
      <c r="A59" s="8">
        <v>45583</v>
      </c>
      <c r="B59" s="3" t="s">
        <v>77</v>
      </c>
      <c r="C59" s="3" t="s">
        <v>78</v>
      </c>
      <c r="D59" s="3" t="s">
        <v>79</v>
      </c>
      <c r="E59" s="3">
        <v>9</v>
      </c>
      <c r="F59" s="3">
        <v>78</v>
      </c>
      <c r="G59" s="3">
        <v>8.6999999999999993</v>
      </c>
      <c r="H59" s="4">
        <v>0.33300000000000002</v>
      </c>
      <c r="I59" s="5">
        <v>144864</v>
      </c>
      <c r="J59" s="5">
        <v>16096</v>
      </c>
      <c r="K59" s="4">
        <v>0.88900000000000001</v>
      </c>
      <c r="L59" s="4">
        <v>0.222</v>
      </c>
      <c r="M59" s="5">
        <v>577804</v>
      </c>
      <c r="N59" s="5">
        <v>128812</v>
      </c>
      <c r="O59" s="5">
        <v>171164.38</v>
      </c>
      <c r="P59" s="5">
        <v>349879</v>
      </c>
      <c r="Q59" s="4">
        <v>0.223</v>
      </c>
      <c r="R59" s="4">
        <v>0.753</v>
      </c>
      <c r="S59" s="18">
        <v>3.3759999999999999</v>
      </c>
      <c r="T59" s="10">
        <v>0</v>
      </c>
      <c r="U59" s="10">
        <v>0</v>
      </c>
      <c r="V59" s="11">
        <v>0</v>
      </c>
      <c r="W5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59" s="3">
        <f>MONTH(raceday_22_23[[#This Row],[Raceday Date]])</f>
        <v>10</v>
      </c>
      <c r="Y5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59" s="3" t="str">
        <f>raceday_22_23[[#This Row],[Raceday Date]]&amp;raceday_22_23[[#This Row],[Club]]</f>
        <v>45583Auckland Trotting Club Inc</v>
      </c>
      <c r="AA59" s="5">
        <f>0.03*raceday_22_23[[#This Row],[Export TO (AUD)]]</f>
        <v>10496.369999999999</v>
      </c>
      <c r="AB59" s="5">
        <f>_xlfn.XLOOKUP(raceday_22_23[[#This Row],[Helper]],'Betcha Integrated'!A:A,'Betcha Integrated'!F:F, 0)</f>
        <v>606300.94519999903</v>
      </c>
      <c r="AC59" s="5">
        <f>_xlfn.XLOOKUP(raceday_22_23[[#This Row],[Helper]],'Betcha Integrated'!A:A,'Betcha Integrated'!G:G, 0)</f>
        <v>139492.35234999988</v>
      </c>
      <c r="AD59" s="5">
        <f>raceday_22_23[[#This Row],[Export Earned]]+raceday_22_23[[#This Row],[Betcha Inc. GBR]]</f>
        <v>149988.72234999988</v>
      </c>
      <c r="AE59" s="88">
        <f>ROUND(raceday_22_23[[#This Row],[Fav. Win %]]*raceday_22_23[[#This Row],[Races]], 0)</f>
        <v>3</v>
      </c>
    </row>
    <row r="60" spans="1:31" x14ac:dyDescent="0.3">
      <c r="A60" s="8">
        <v>45585</v>
      </c>
      <c r="B60" s="3" t="s">
        <v>82</v>
      </c>
      <c r="C60" s="3" t="s">
        <v>85</v>
      </c>
      <c r="D60" s="3" t="s">
        <v>76</v>
      </c>
      <c r="E60" s="3">
        <v>10</v>
      </c>
      <c r="F60" s="3">
        <v>92</v>
      </c>
      <c r="G60" s="3">
        <v>9.1999999999999993</v>
      </c>
      <c r="H60" s="4">
        <v>0.4</v>
      </c>
      <c r="I60" s="5">
        <v>143030</v>
      </c>
      <c r="J60" s="5">
        <v>14303</v>
      </c>
      <c r="K60" s="4">
        <v>0.96799999999999997</v>
      </c>
      <c r="L60" s="4">
        <v>0.1</v>
      </c>
      <c r="M60" s="5">
        <v>656045</v>
      </c>
      <c r="N60" s="5">
        <v>138490</v>
      </c>
      <c r="O60" s="5">
        <v>167857.86</v>
      </c>
      <c r="P60" s="5">
        <v>170776</v>
      </c>
      <c r="Q60" s="4">
        <v>0.21099999999999999</v>
      </c>
      <c r="R60" s="4">
        <v>0.82499999999999996</v>
      </c>
      <c r="S60" s="18">
        <v>3.9079999999999999</v>
      </c>
      <c r="T60" s="10">
        <v>805836</v>
      </c>
      <c r="U60" s="10">
        <v>70129</v>
      </c>
      <c r="V60" s="11">
        <v>8.6999999999999994E-2</v>
      </c>
      <c r="W60" s="12">
        <f>IF(raceday_22_23[[#This Row],[Last Year Turnover]]=0, "No Corresponding PY Meeting", (raceday_22_23[[#This Row],[Betcha Inc. TO]]-raceday_22_23[[#This Row],[Last Year Turnover]])/raceday_22_23[[#This Row],[Last Year Turnover]])</f>
        <v>-0.15906875667009282</v>
      </c>
      <c r="X60" s="3">
        <f>MONTH(raceday_22_23[[#This Row],[Raceday Date]])</f>
        <v>10</v>
      </c>
      <c r="Y6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0" s="3" t="str">
        <f>raceday_22_23[[#This Row],[Raceday Date]]&amp;raceday_22_23[[#This Row],[Club]]</f>
        <v>45585Invercargill Harness Racing Club Inc</v>
      </c>
      <c r="AA60" s="5">
        <f>0.03*raceday_22_23[[#This Row],[Export TO (AUD)]]</f>
        <v>5123.28</v>
      </c>
      <c r="AB60" s="5">
        <f>_xlfn.XLOOKUP(raceday_22_23[[#This Row],[Helper]],'Betcha Integrated'!A:A,'Betcha Integrated'!F:F, 0)</f>
        <v>677652.66939999908</v>
      </c>
      <c r="AC60" s="5">
        <f>_xlfn.XLOOKUP(raceday_22_23[[#This Row],[Helper]],'Betcha Integrated'!A:A,'Betcha Integrated'!G:G, 0)</f>
        <v>143605.8471499999</v>
      </c>
      <c r="AD60" s="5">
        <f>raceday_22_23[[#This Row],[Export Earned]]+raceday_22_23[[#This Row],[Betcha Inc. GBR]]</f>
        <v>148729.1271499999</v>
      </c>
      <c r="AE60" s="88">
        <f>ROUND(raceday_22_23[[#This Row],[Fav. Win %]]*raceday_22_23[[#This Row],[Races]], 0)</f>
        <v>4</v>
      </c>
    </row>
    <row r="61" spans="1:31" x14ac:dyDescent="0.3">
      <c r="A61" s="8">
        <v>45587</v>
      </c>
      <c r="B61" s="3" t="s">
        <v>83</v>
      </c>
      <c r="C61" s="3" t="s">
        <v>84</v>
      </c>
      <c r="D61" s="3" t="s">
        <v>79</v>
      </c>
      <c r="E61" s="3">
        <v>7</v>
      </c>
      <c r="F61" s="3">
        <v>59</v>
      </c>
      <c r="G61" s="3">
        <v>8.4</v>
      </c>
      <c r="H61" s="4">
        <v>0.42899999999999999</v>
      </c>
      <c r="I61" s="5">
        <v>52500</v>
      </c>
      <c r="J61" s="5">
        <v>7500</v>
      </c>
      <c r="K61" s="4">
        <v>0.85</v>
      </c>
      <c r="L61" s="4">
        <v>0</v>
      </c>
      <c r="M61" s="5">
        <v>308089</v>
      </c>
      <c r="N61" s="5">
        <v>44634</v>
      </c>
      <c r="O61" s="5">
        <v>77791.240000000005</v>
      </c>
      <c r="P61" s="5">
        <v>165611</v>
      </c>
      <c r="Q61" s="4">
        <v>0.14499999999999999</v>
      </c>
      <c r="R61" s="4">
        <v>0.57399999999999995</v>
      </c>
      <c r="S61" s="18">
        <v>3.96</v>
      </c>
      <c r="T61" s="10">
        <v>0</v>
      </c>
      <c r="U61" s="10">
        <v>0</v>
      </c>
      <c r="V61" s="11">
        <v>0</v>
      </c>
      <c r="W61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61" s="3">
        <f>MONTH(raceday_22_23[[#This Row],[Raceday Date]])</f>
        <v>10</v>
      </c>
      <c r="Y6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1" s="3" t="str">
        <f>raceday_22_23[[#This Row],[Raceday Date]]&amp;raceday_22_23[[#This Row],[Club]]</f>
        <v>45587Waikato Bay of Plenty Harness Inc</v>
      </c>
      <c r="AA61" s="5">
        <f>0.03*raceday_22_23[[#This Row],[Export TO (AUD)]]</f>
        <v>4968.33</v>
      </c>
      <c r="AB61" s="5">
        <f>_xlfn.XLOOKUP(raceday_22_23[[#This Row],[Helper]],'Betcha Integrated'!A:A,'Betcha Integrated'!F:F, 0)</f>
        <v>320150.28760000004</v>
      </c>
      <c r="AC61" s="5">
        <f>_xlfn.XLOOKUP(raceday_22_23[[#This Row],[Helper]],'Betcha Integrated'!A:A,'Betcha Integrated'!G:G, 0)</f>
        <v>43728.097099999999</v>
      </c>
      <c r="AD61" s="5">
        <f>raceday_22_23[[#This Row],[Export Earned]]+raceday_22_23[[#This Row],[Betcha Inc. GBR]]</f>
        <v>48696.427100000001</v>
      </c>
      <c r="AE61" s="88">
        <f>ROUND(raceday_22_23[[#This Row],[Fav. Win %]]*raceday_22_23[[#This Row],[Races]], 0)</f>
        <v>3</v>
      </c>
    </row>
    <row r="62" spans="1:31" x14ac:dyDescent="0.3">
      <c r="A62" s="8">
        <v>45588</v>
      </c>
      <c r="B62" s="3" t="s">
        <v>96</v>
      </c>
      <c r="C62" s="3" t="s">
        <v>80</v>
      </c>
      <c r="D62" s="3" t="s">
        <v>81</v>
      </c>
      <c r="E62" s="3">
        <v>8</v>
      </c>
      <c r="F62" s="3">
        <v>88</v>
      </c>
      <c r="G62" s="3">
        <v>11</v>
      </c>
      <c r="H62" s="4">
        <v>0.125</v>
      </c>
      <c r="I62" s="5">
        <v>66986</v>
      </c>
      <c r="J62" s="5">
        <v>8373</v>
      </c>
      <c r="K62" s="4">
        <v>1.641</v>
      </c>
      <c r="L62" s="4">
        <v>0.125</v>
      </c>
      <c r="M62" s="5">
        <v>522948</v>
      </c>
      <c r="N62" s="5">
        <v>109946</v>
      </c>
      <c r="O62" s="5">
        <v>104788.17</v>
      </c>
      <c r="P62" s="5">
        <v>244643</v>
      </c>
      <c r="Q62" s="4">
        <v>0.21</v>
      </c>
      <c r="R62" s="4">
        <v>1.0489999999999999</v>
      </c>
      <c r="S62" s="18">
        <v>4.9909999999999997</v>
      </c>
      <c r="T62" s="10">
        <v>0</v>
      </c>
      <c r="U62" s="10">
        <v>0</v>
      </c>
      <c r="V62" s="11">
        <v>0</v>
      </c>
      <c r="W6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62" s="3">
        <f>MONTH(raceday_22_23[[#This Row],[Raceday Date]])</f>
        <v>10</v>
      </c>
      <c r="Y6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2" s="3" t="str">
        <f>raceday_22_23[[#This Row],[Raceday Date]]&amp;raceday_22_23[[#This Row],[Club]]</f>
        <v>45588NZ Metropolitan Trotting Club Inc</v>
      </c>
      <c r="AA62" s="5">
        <f>0.03*raceday_22_23[[#This Row],[Export TO (AUD)]]</f>
        <v>7339.29</v>
      </c>
      <c r="AB62" s="5">
        <f>_xlfn.XLOOKUP(raceday_22_23[[#This Row],[Helper]],'Betcha Integrated'!A:A,'Betcha Integrated'!F:F, 0)</f>
        <v>547484.89749999903</v>
      </c>
      <c r="AC62" s="5">
        <f>_xlfn.XLOOKUP(raceday_22_23[[#This Row],[Helper]],'Betcha Integrated'!A:A,'Betcha Integrated'!G:G, 0)</f>
        <v>120215.0947999999</v>
      </c>
      <c r="AD62" s="5">
        <f>raceday_22_23[[#This Row],[Export Earned]]+raceday_22_23[[#This Row],[Betcha Inc. GBR]]</f>
        <v>127554.3847999999</v>
      </c>
      <c r="AE62" s="88">
        <f>ROUND(raceday_22_23[[#This Row],[Fav. Win %]]*raceday_22_23[[#This Row],[Races]], 0)</f>
        <v>1</v>
      </c>
    </row>
    <row r="63" spans="1:31" x14ac:dyDescent="0.3">
      <c r="A63" s="8">
        <v>45590</v>
      </c>
      <c r="B63" s="3" t="s">
        <v>77</v>
      </c>
      <c r="C63" s="3" t="s">
        <v>80</v>
      </c>
      <c r="D63" s="3" t="s">
        <v>81</v>
      </c>
      <c r="E63" s="3">
        <v>12</v>
      </c>
      <c r="F63" s="3">
        <v>133</v>
      </c>
      <c r="G63" s="3">
        <v>11.1</v>
      </c>
      <c r="H63" s="4">
        <v>0.41699999999999998</v>
      </c>
      <c r="I63" s="5">
        <v>226919</v>
      </c>
      <c r="J63" s="5">
        <v>18910</v>
      </c>
      <c r="K63" s="4">
        <v>0.55700000000000005</v>
      </c>
      <c r="L63" s="4">
        <v>0</v>
      </c>
      <c r="M63" s="5">
        <v>1162081</v>
      </c>
      <c r="N63" s="5">
        <v>126442</v>
      </c>
      <c r="O63" s="5">
        <v>265101.92</v>
      </c>
      <c r="P63" s="5">
        <v>290954</v>
      </c>
      <c r="Q63" s="4">
        <v>0.109</v>
      </c>
      <c r="R63" s="4">
        <v>0.47699999999999998</v>
      </c>
      <c r="S63" s="18">
        <v>4.3840000000000003</v>
      </c>
      <c r="T63" s="10">
        <v>1334221</v>
      </c>
      <c r="U63" s="10">
        <v>223196</v>
      </c>
      <c r="V63" s="11">
        <v>0.16700000000000001</v>
      </c>
      <c r="W63" s="12">
        <f>IF(raceday_22_23[[#This Row],[Last Year Turnover]]=0, "No Corresponding PY Meeting", (raceday_22_23[[#This Row],[Betcha Inc. TO]]-raceday_22_23[[#This Row],[Last Year Turnover]])/raceday_22_23[[#This Row],[Last Year Turnover]])</f>
        <v>-9.1267657831798354E-2</v>
      </c>
      <c r="X63" s="3">
        <f>MONTH(raceday_22_23[[#This Row],[Raceday Date]])</f>
        <v>10</v>
      </c>
      <c r="Y6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3" s="3" t="str">
        <f>raceday_22_23[[#This Row],[Raceday Date]]&amp;raceday_22_23[[#This Row],[Club]]</f>
        <v>45590NZ Metropolitan Trotting Club Inc</v>
      </c>
      <c r="AA63" s="5">
        <f>0.03*raceday_22_23[[#This Row],[Export TO (AUD)]]</f>
        <v>8728.619999999999</v>
      </c>
      <c r="AB63" s="5">
        <f>_xlfn.XLOOKUP(raceday_22_23[[#This Row],[Helper]],'Betcha Integrated'!A:A,'Betcha Integrated'!F:F, 0)</f>
        <v>1212449.7743000002</v>
      </c>
      <c r="AC63" s="5">
        <f>_xlfn.XLOOKUP(raceday_22_23[[#This Row],[Helper]],'Betcha Integrated'!A:A,'Betcha Integrated'!G:G, 0)</f>
        <v>115020.19009999999</v>
      </c>
      <c r="AD63" s="5">
        <f>raceday_22_23[[#This Row],[Export Earned]]+raceday_22_23[[#This Row],[Betcha Inc. GBR]]</f>
        <v>123748.81009999999</v>
      </c>
      <c r="AE63" s="88">
        <f>ROUND(raceday_22_23[[#This Row],[Fav. Win %]]*raceday_22_23[[#This Row],[Races]], 0)</f>
        <v>5</v>
      </c>
    </row>
    <row r="64" spans="1:31" x14ac:dyDescent="0.3">
      <c r="A64" s="8">
        <v>45590</v>
      </c>
      <c r="B64" s="3" t="s">
        <v>77</v>
      </c>
      <c r="C64" s="3" t="s">
        <v>78</v>
      </c>
      <c r="D64" s="3" t="s">
        <v>79</v>
      </c>
      <c r="E64" s="3">
        <v>10</v>
      </c>
      <c r="F64" s="3">
        <v>86</v>
      </c>
      <c r="G64" s="3">
        <v>8.6</v>
      </c>
      <c r="H64" s="4">
        <v>0.4</v>
      </c>
      <c r="I64" s="5">
        <v>191414</v>
      </c>
      <c r="J64" s="5">
        <v>19141</v>
      </c>
      <c r="K64" s="4">
        <v>0.67</v>
      </c>
      <c r="L64" s="4">
        <v>0.1</v>
      </c>
      <c r="M64" s="5">
        <v>796443</v>
      </c>
      <c r="N64" s="5">
        <v>128291</v>
      </c>
      <c r="O64" s="5">
        <v>217713.13</v>
      </c>
      <c r="P64" s="5">
        <v>276104</v>
      </c>
      <c r="Q64" s="4">
        <v>0.161</v>
      </c>
      <c r="R64" s="4">
        <v>0.58899999999999997</v>
      </c>
      <c r="S64" s="18">
        <v>3.6579999999999999</v>
      </c>
      <c r="T64" s="10">
        <v>0</v>
      </c>
      <c r="U64" s="10">
        <v>0</v>
      </c>
      <c r="V64" s="11">
        <v>0</v>
      </c>
      <c r="W64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64" s="3">
        <f>MONTH(raceday_22_23[[#This Row],[Raceday Date]])</f>
        <v>10</v>
      </c>
      <c r="Y6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4" s="3" t="str">
        <f>raceday_22_23[[#This Row],[Raceday Date]]&amp;raceday_22_23[[#This Row],[Club]]</f>
        <v>45590Auckland Trotting Club Inc</v>
      </c>
      <c r="AA64" s="5">
        <f>0.03*raceday_22_23[[#This Row],[Export TO (AUD)]]</f>
        <v>8283.119999999999</v>
      </c>
      <c r="AB64" s="5">
        <f>_xlfn.XLOOKUP(raceday_22_23[[#This Row],[Helper]],'Betcha Integrated'!A:A,'Betcha Integrated'!F:F, 0)</f>
        <v>833473.83779999905</v>
      </c>
      <c r="AC64" s="5">
        <f>_xlfn.XLOOKUP(raceday_22_23[[#This Row],[Helper]],'Betcha Integrated'!A:A,'Betcha Integrated'!G:G, 0)</f>
        <v>130126.70149999989</v>
      </c>
      <c r="AD64" s="5">
        <f>raceday_22_23[[#This Row],[Export Earned]]+raceday_22_23[[#This Row],[Betcha Inc. GBR]]</f>
        <v>138409.8214999999</v>
      </c>
      <c r="AE64" s="88">
        <f>ROUND(raceday_22_23[[#This Row],[Fav. Win %]]*raceday_22_23[[#This Row],[Races]], 0)</f>
        <v>4</v>
      </c>
    </row>
    <row r="65" spans="1:31" x14ac:dyDescent="0.3">
      <c r="A65" s="8">
        <v>45592</v>
      </c>
      <c r="B65" s="3" t="s">
        <v>82</v>
      </c>
      <c r="C65" s="3" t="s">
        <v>98</v>
      </c>
      <c r="D65" s="3" t="s">
        <v>76</v>
      </c>
      <c r="E65" s="3">
        <v>10</v>
      </c>
      <c r="F65" s="3">
        <v>97</v>
      </c>
      <c r="G65" s="3">
        <v>9.6999999999999993</v>
      </c>
      <c r="H65" s="4">
        <v>0.2</v>
      </c>
      <c r="I65" s="5">
        <v>118266</v>
      </c>
      <c r="J65" s="5">
        <v>11827</v>
      </c>
      <c r="K65" s="4">
        <v>1.587</v>
      </c>
      <c r="L65" s="4">
        <v>0.3</v>
      </c>
      <c r="M65" s="5">
        <v>756196</v>
      </c>
      <c r="N65" s="5">
        <v>192469</v>
      </c>
      <c r="O65" s="5">
        <v>135488.74</v>
      </c>
      <c r="P65" s="5">
        <v>232241</v>
      </c>
      <c r="Q65" s="4">
        <v>0.255</v>
      </c>
      <c r="R65" s="4">
        <v>1.421</v>
      </c>
      <c r="S65" s="18">
        <v>5.5810000000000004</v>
      </c>
      <c r="T65" s="10">
        <v>663365</v>
      </c>
      <c r="U65" s="10">
        <v>135413</v>
      </c>
      <c r="V65" s="11">
        <v>0.20399999999999999</v>
      </c>
      <c r="W65" s="12">
        <f>IF(raceday_22_23[[#This Row],[Last Year Turnover]]=0, "No Corresponding PY Meeting", (raceday_22_23[[#This Row],[Betcha Inc. TO]]-raceday_22_23[[#This Row],[Last Year Turnover]])/raceday_22_23[[#This Row],[Last Year Turnover]])</f>
        <v>0.19053553533876366</v>
      </c>
      <c r="X65" s="3">
        <f>MONTH(raceday_22_23[[#This Row],[Raceday Date]])</f>
        <v>10</v>
      </c>
      <c r="Y6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5" s="3" t="str">
        <f>raceday_22_23[[#This Row],[Raceday Date]]&amp;raceday_22_23[[#This Row],[Club]]</f>
        <v>45592Tuapeka Harness Racing Club Inc</v>
      </c>
      <c r="AA65" s="5">
        <f>0.03*raceday_22_23[[#This Row],[Export TO (AUD)]]</f>
        <v>6967.23</v>
      </c>
      <c r="AB65" s="5">
        <f>_xlfn.XLOOKUP(raceday_22_23[[#This Row],[Helper]],'Betcha Integrated'!A:A,'Betcha Integrated'!F:F, 0)</f>
        <v>789759.60539999895</v>
      </c>
      <c r="AC65" s="5">
        <f>_xlfn.XLOOKUP(raceday_22_23[[#This Row],[Helper]],'Betcha Integrated'!A:A,'Betcha Integrated'!G:G, 0)</f>
        <v>197184.07164999988</v>
      </c>
      <c r="AD65" s="5">
        <f>raceday_22_23[[#This Row],[Export Earned]]+raceday_22_23[[#This Row],[Betcha Inc. GBR]]</f>
        <v>204151.30164999989</v>
      </c>
      <c r="AE65" s="88">
        <f>ROUND(raceday_22_23[[#This Row],[Fav. Win %]]*raceday_22_23[[#This Row],[Races]], 0)</f>
        <v>2</v>
      </c>
    </row>
    <row r="66" spans="1:31" x14ac:dyDescent="0.3">
      <c r="A66" s="8">
        <v>45593</v>
      </c>
      <c r="B66" s="3" t="s">
        <v>99</v>
      </c>
      <c r="C66" s="3" t="s">
        <v>86</v>
      </c>
      <c r="D66" s="3" t="s">
        <v>81</v>
      </c>
      <c r="E66" s="3">
        <v>12</v>
      </c>
      <c r="F66" s="3">
        <v>143</v>
      </c>
      <c r="G66" s="3">
        <v>11.9</v>
      </c>
      <c r="H66" s="4">
        <v>0.25</v>
      </c>
      <c r="I66" s="5">
        <v>392913</v>
      </c>
      <c r="J66" s="5">
        <v>32743</v>
      </c>
      <c r="K66" s="4">
        <v>1.175</v>
      </c>
      <c r="L66" s="4">
        <v>8.3000000000000004E-2</v>
      </c>
      <c r="M66" s="5">
        <v>1704861</v>
      </c>
      <c r="N66" s="5">
        <v>461529</v>
      </c>
      <c r="O66" s="5">
        <v>422702.74</v>
      </c>
      <c r="P66" s="5">
        <v>463102</v>
      </c>
      <c r="Q66" s="4">
        <v>0.27100000000000002</v>
      </c>
      <c r="R66" s="4">
        <v>1.0920000000000001</v>
      </c>
      <c r="S66" s="18">
        <v>4.0330000000000004</v>
      </c>
      <c r="T66" s="10">
        <v>1703026</v>
      </c>
      <c r="U66" s="10">
        <v>161877</v>
      </c>
      <c r="V66" s="11">
        <v>9.5000000000000001E-2</v>
      </c>
      <c r="W66" s="12">
        <f>IF(raceday_22_23[[#This Row],[Last Year Turnover]]=0, "No Corresponding PY Meeting", (raceday_22_23[[#This Row],[Betcha Inc. TO]]-raceday_22_23[[#This Row],[Last Year Turnover]])/raceday_22_23[[#This Row],[Last Year Turnover]])</f>
        <v>4.1429392093837052E-2</v>
      </c>
      <c r="X66" s="3">
        <f>MONTH(raceday_22_23[[#This Row],[Raceday Date]])</f>
        <v>10</v>
      </c>
      <c r="Y6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6" s="3" t="str">
        <f>raceday_22_23[[#This Row],[Raceday Date]]&amp;raceday_22_23[[#This Row],[Club]]</f>
        <v>45593Ashburton Trotting Club Inc</v>
      </c>
      <c r="AA66" s="5">
        <f>0.03*raceday_22_23[[#This Row],[Export TO (AUD)]]</f>
        <v>13893.06</v>
      </c>
      <c r="AB66" s="5">
        <f>_xlfn.XLOOKUP(raceday_22_23[[#This Row],[Helper]],'Betcha Integrated'!A:A,'Betcha Integrated'!F:F, 0)</f>
        <v>1773581.3318999989</v>
      </c>
      <c r="AC66" s="5">
        <f>_xlfn.XLOOKUP(raceday_22_23[[#This Row],[Helper]],'Betcha Integrated'!A:A,'Betcha Integrated'!G:G, 0)</f>
        <v>481896.050099999</v>
      </c>
      <c r="AD66" s="5">
        <f>raceday_22_23[[#This Row],[Export Earned]]+raceday_22_23[[#This Row],[Betcha Inc. GBR]]</f>
        <v>495789.110099999</v>
      </c>
      <c r="AE66" s="88">
        <f>ROUND(raceday_22_23[[#This Row],[Fav. Win %]]*raceday_22_23[[#This Row],[Races]], 0)</f>
        <v>3</v>
      </c>
    </row>
    <row r="67" spans="1:31" x14ac:dyDescent="0.3">
      <c r="A67" s="8">
        <v>45594</v>
      </c>
      <c r="B67" s="3" t="s">
        <v>83</v>
      </c>
      <c r="C67" s="3" t="s">
        <v>84</v>
      </c>
      <c r="D67" s="3" t="s">
        <v>79</v>
      </c>
      <c r="E67" s="3">
        <v>7</v>
      </c>
      <c r="F67" s="3">
        <v>65</v>
      </c>
      <c r="G67" s="3">
        <v>9.3000000000000007</v>
      </c>
      <c r="H67" s="4">
        <v>0.42899999999999999</v>
      </c>
      <c r="I67" s="5">
        <v>53340</v>
      </c>
      <c r="J67" s="5">
        <v>7620</v>
      </c>
      <c r="K67" s="4">
        <v>1.714</v>
      </c>
      <c r="L67" s="4">
        <v>0.14299999999999999</v>
      </c>
      <c r="M67" s="5">
        <v>328909</v>
      </c>
      <c r="N67" s="5">
        <v>91439</v>
      </c>
      <c r="O67" s="5">
        <v>78631.240000000005</v>
      </c>
      <c r="P67" s="5">
        <v>177011</v>
      </c>
      <c r="Q67" s="4">
        <v>0.27800000000000002</v>
      </c>
      <c r="R67" s="4">
        <v>1.163</v>
      </c>
      <c r="S67" s="18">
        <v>4.1829999999999998</v>
      </c>
      <c r="T67" s="10">
        <v>0</v>
      </c>
      <c r="U67" s="10">
        <v>0</v>
      </c>
      <c r="V67" s="11">
        <v>0</v>
      </c>
      <c r="W6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67" s="3">
        <f>MONTH(raceday_22_23[[#This Row],[Raceday Date]])</f>
        <v>10</v>
      </c>
      <c r="Y6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7" s="3" t="str">
        <f>raceday_22_23[[#This Row],[Raceday Date]]&amp;raceday_22_23[[#This Row],[Club]]</f>
        <v>45594Waikato Bay of Plenty Harness Inc</v>
      </c>
      <c r="AA67" s="5">
        <f>0.03*raceday_22_23[[#This Row],[Export TO (AUD)]]</f>
        <v>5310.33</v>
      </c>
      <c r="AB67" s="5">
        <f>_xlfn.XLOOKUP(raceday_22_23[[#This Row],[Helper]],'Betcha Integrated'!A:A,'Betcha Integrated'!F:F, 0)</f>
        <v>339689.57289999898</v>
      </c>
      <c r="AC67" s="5">
        <f>_xlfn.XLOOKUP(raceday_22_23[[#This Row],[Helper]],'Betcha Integrated'!A:A,'Betcha Integrated'!G:G, 0)</f>
        <v>91664.327499999898</v>
      </c>
      <c r="AD67" s="5">
        <f>raceday_22_23[[#This Row],[Export Earned]]+raceday_22_23[[#This Row],[Betcha Inc. GBR]]</f>
        <v>96974.657499999899</v>
      </c>
      <c r="AE67" s="88">
        <f>ROUND(raceday_22_23[[#This Row],[Fav. Win %]]*raceday_22_23[[#This Row],[Races]], 0)</f>
        <v>3</v>
      </c>
    </row>
    <row r="68" spans="1:31" x14ac:dyDescent="0.3">
      <c r="A68" s="8">
        <v>45596</v>
      </c>
      <c r="B68" s="3" t="s">
        <v>74</v>
      </c>
      <c r="C68" s="3" t="s">
        <v>75</v>
      </c>
      <c r="D68" s="3" t="s">
        <v>76</v>
      </c>
      <c r="E68" s="3">
        <v>9</v>
      </c>
      <c r="F68" s="3">
        <v>85</v>
      </c>
      <c r="G68" s="3">
        <v>9.4</v>
      </c>
      <c r="H68" s="4">
        <v>0.33300000000000002</v>
      </c>
      <c r="I68" s="5">
        <v>98345</v>
      </c>
      <c r="J68" s="5">
        <v>10927</v>
      </c>
      <c r="K68" s="4">
        <v>1.508</v>
      </c>
      <c r="L68" s="4">
        <v>0</v>
      </c>
      <c r="M68" s="5">
        <v>572426</v>
      </c>
      <c r="N68" s="5">
        <v>148261</v>
      </c>
      <c r="O68" s="5">
        <v>120550.84</v>
      </c>
      <c r="P68" s="5">
        <v>264719</v>
      </c>
      <c r="Q68" s="4">
        <v>0.25900000000000001</v>
      </c>
      <c r="R68" s="4">
        <v>1.23</v>
      </c>
      <c r="S68" s="18">
        <v>4.7480000000000002</v>
      </c>
      <c r="T68" s="10">
        <v>590524</v>
      </c>
      <c r="U68" s="10">
        <v>119603</v>
      </c>
      <c r="V68" s="11">
        <v>0.20300000000000001</v>
      </c>
      <c r="W68" s="12">
        <f>IF(raceday_22_23[[#This Row],[Last Year Turnover]]=0, "No Corresponding PY Meeting", (raceday_22_23[[#This Row],[Betcha Inc. TO]]-raceday_22_23[[#This Row],[Last Year Turnover]])/raceday_22_23[[#This Row],[Last Year Turnover]])</f>
        <v>-2.4760949597323451E-3</v>
      </c>
      <c r="X68" s="3">
        <f>MONTH(raceday_22_23[[#This Row],[Raceday Date]])</f>
        <v>10</v>
      </c>
      <c r="Y6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  <c r="Z68" s="3" t="str">
        <f>raceday_22_23[[#This Row],[Raceday Date]]&amp;raceday_22_23[[#This Row],[Club]]</f>
        <v>45596Winton Harness Racing Club Inc</v>
      </c>
      <c r="AA68" s="5">
        <f>0.03*raceday_22_23[[#This Row],[Export TO (AUD)]]</f>
        <v>7941.57</v>
      </c>
      <c r="AB68" s="5">
        <f>_xlfn.XLOOKUP(raceday_22_23[[#This Row],[Helper]],'Betcha Integrated'!A:A,'Betcha Integrated'!F:F, 0)</f>
        <v>589061.80649999902</v>
      </c>
      <c r="AC68" s="5">
        <f>_xlfn.XLOOKUP(raceday_22_23[[#This Row],[Helper]],'Betcha Integrated'!A:A,'Betcha Integrated'!G:G, 0)</f>
        <v>153221.0536999999</v>
      </c>
      <c r="AD68" s="5">
        <f>raceday_22_23[[#This Row],[Export Earned]]+raceday_22_23[[#This Row],[Betcha Inc. GBR]]</f>
        <v>161162.62369999991</v>
      </c>
      <c r="AE68" s="88">
        <f>ROUND(raceday_22_23[[#This Row],[Fav. Win %]]*raceday_22_23[[#This Row],[Races]], 0)</f>
        <v>3</v>
      </c>
    </row>
    <row r="69" spans="1:31" x14ac:dyDescent="0.3">
      <c r="A69" s="8">
        <v>45597</v>
      </c>
      <c r="B69" s="3" t="s">
        <v>77</v>
      </c>
      <c r="C69" s="3" t="s">
        <v>91</v>
      </c>
      <c r="D69" s="3" t="s">
        <v>81</v>
      </c>
      <c r="E69" s="3">
        <v>10</v>
      </c>
      <c r="F69" s="3">
        <v>111</v>
      </c>
      <c r="G69" s="3">
        <v>11.1</v>
      </c>
      <c r="H69" s="4">
        <v>0</v>
      </c>
      <c r="I69" s="5">
        <v>98425</v>
      </c>
      <c r="J69" s="5">
        <v>9842</v>
      </c>
      <c r="K69" s="4">
        <v>2.2999999999999998</v>
      </c>
      <c r="L69" s="4">
        <v>0.1</v>
      </c>
      <c r="M69" s="5">
        <v>790661</v>
      </c>
      <c r="N69" s="5">
        <v>226408</v>
      </c>
      <c r="O69" s="5">
        <v>126391.9</v>
      </c>
      <c r="P69" s="5">
        <v>394778</v>
      </c>
      <c r="Q69" s="4">
        <v>0.28599999999999998</v>
      </c>
      <c r="R69" s="4">
        <v>1.7909999999999999</v>
      </c>
      <c r="S69" s="18">
        <v>6.2560000000000002</v>
      </c>
      <c r="T69" s="10">
        <v>924200</v>
      </c>
      <c r="U69" s="10">
        <v>276974</v>
      </c>
      <c r="V69" s="11">
        <v>0.3</v>
      </c>
      <c r="W69" s="12">
        <f>IF(raceday_22_23[[#This Row],[Last Year Turnover]]=0, "No Corresponding PY Meeting", (raceday_22_23[[#This Row],[Betcha Inc. TO]]-raceday_22_23[[#This Row],[Last Year Turnover]])/raceday_22_23[[#This Row],[Last Year Turnover]])</f>
        <v>-0.10820024009954676</v>
      </c>
      <c r="X69" s="3">
        <f>MONTH(raceday_22_23[[#This Row],[Raceday Date]])</f>
        <v>11</v>
      </c>
      <c r="Y6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69" s="3" t="str">
        <f>raceday_22_23[[#This Row],[Raceday Date]]&amp;raceday_22_23[[#This Row],[Club]]</f>
        <v>45597Methven Trotting Club Inc</v>
      </c>
      <c r="AA69" s="5">
        <f>0.03*raceday_22_23[[#This Row],[Export TO (AUD)]]</f>
        <v>11843.34</v>
      </c>
      <c r="AB69" s="5">
        <f>_xlfn.XLOOKUP(raceday_22_23[[#This Row],[Helper]],'Betcha Integrated'!A:A,'Betcha Integrated'!F:F, 0)</f>
        <v>824201.33809999889</v>
      </c>
      <c r="AC69" s="5">
        <f>_xlfn.XLOOKUP(raceday_22_23[[#This Row],[Helper]],'Betcha Integrated'!A:A,'Betcha Integrated'!G:G, 0)</f>
        <v>241078.54139999987</v>
      </c>
      <c r="AD69" s="5">
        <f>raceday_22_23[[#This Row],[Export Earned]]+raceday_22_23[[#This Row],[Betcha Inc. GBR]]</f>
        <v>252921.88139999987</v>
      </c>
      <c r="AE69" s="88">
        <f>ROUND(raceday_22_23[[#This Row],[Fav. Win %]]*raceday_22_23[[#This Row],[Races]], 0)</f>
        <v>0</v>
      </c>
    </row>
    <row r="70" spans="1:31" x14ac:dyDescent="0.3">
      <c r="A70" s="8">
        <v>45597</v>
      </c>
      <c r="B70" s="3" t="s">
        <v>77</v>
      </c>
      <c r="C70" s="3" t="s">
        <v>78</v>
      </c>
      <c r="D70" s="3" t="s">
        <v>79</v>
      </c>
      <c r="E70" s="3">
        <v>9</v>
      </c>
      <c r="F70" s="3">
        <v>74</v>
      </c>
      <c r="G70" s="3">
        <v>8.1999999999999993</v>
      </c>
      <c r="H70" s="4">
        <v>0.222</v>
      </c>
      <c r="I70" s="5">
        <v>125145</v>
      </c>
      <c r="J70" s="5">
        <v>13905</v>
      </c>
      <c r="K70" s="4">
        <v>1.1890000000000001</v>
      </c>
      <c r="L70" s="4">
        <v>0.222</v>
      </c>
      <c r="M70" s="5">
        <v>700546</v>
      </c>
      <c r="N70" s="5">
        <v>148809</v>
      </c>
      <c r="O70" s="5">
        <v>151445.63</v>
      </c>
      <c r="P70" s="5">
        <v>274208</v>
      </c>
      <c r="Q70" s="4">
        <v>0.21199999999999999</v>
      </c>
      <c r="R70" s="4">
        <v>0.98299999999999998</v>
      </c>
      <c r="S70" s="18">
        <v>4.6260000000000003</v>
      </c>
      <c r="T70" s="10">
        <v>589509</v>
      </c>
      <c r="U70" s="10">
        <v>148225</v>
      </c>
      <c r="V70" s="11">
        <v>0.251</v>
      </c>
      <c r="W70" s="12">
        <f>IF(raceday_22_23[[#This Row],[Last Year Turnover]]=0, "No Corresponding PY Meeting", (raceday_22_23[[#This Row],[Betcha Inc. TO]]-raceday_22_23[[#This Row],[Last Year Turnover]])/raceday_22_23[[#This Row],[Last Year Turnover]])</f>
        <v>0.24789759596545441</v>
      </c>
      <c r="X70" s="3">
        <f>MONTH(raceday_22_23[[#This Row],[Raceday Date]])</f>
        <v>11</v>
      </c>
      <c r="Y7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0" s="3" t="str">
        <f>raceday_22_23[[#This Row],[Raceday Date]]&amp;raceday_22_23[[#This Row],[Club]]</f>
        <v>45597Auckland Trotting Club Inc</v>
      </c>
      <c r="AA70" s="5">
        <f>0.03*raceday_22_23[[#This Row],[Export TO (AUD)]]</f>
        <v>8226.24</v>
      </c>
      <c r="AB70" s="5">
        <f>_xlfn.XLOOKUP(raceday_22_23[[#This Row],[Helper]],'Betcha Integrated'!A:A,'Betcha Integrated'!F:F, 0)</f>
        <v>735646.86389999907</v>
      </c>
      <c r="AC70" s="5">
        <f>_xlfn.XLOOKUP(raceday_22_23[[#This Row],[Helper]],'Betcha Integrated'!A:A,'Betcha Integrated'!G:G, 0)</f>
        <v>155276.46894999989</v>
      </c>
      <c r="AD70" s="5">
        <f>raceday_22_23[[#This Row],[Export Earned]]+raceday_22_23[[#This Row],[Betcha Inc. GBR]]</f>
        <v>163502.70894999988</v>
      </c>
      <c r="AE70" s="88">
        <f>ROUND(raceday_22_23[[#This Row],[Fav. Win %]]*raceday_22_23[[#This Row],[Races]], 0)</f>
        <v>2</v>
      </c>
    </row>
    <row r="71" spans="1:31" x14ac:dyDescent="0.3">
      <c r="A71" s="8">
        <v>45599</v>
      </c>
      <c r="B71" s="3" t="s">
        <v>82</v>
      </c>
      <c r="C71" s="3" t="s">
        <v>100</v>
      </c>
      <c r="D71" s="3" t="s">
        <v>81</v>
      </c>
      <c r="E71" s="3">
        <v>8</v>
      </c>
      <c r="F71" s="3">
        <v>64</v>
      </c>
      <c r="G71" s="3">
        <v>8</v>
      </c>
      <c r="H71" s="4">
        <v>0.25</v>
      </c>
      <c r="I71" s="5">
        <v>91692</v>
      </c>
      <c r="J71" s="5">
        <v>11462</v>
      </c>
      <c r="K71" s="4">
        <v>2.4409999999999998</v>
      </c>
      <c r="L71" s="4">
        <v>0.125</v>
      </c>
      <c r="M71" s="5">
        <v>810386</v>
      </c>
      <c r="N71" s="5">
        <v>223847</v>
      </c>
      <c r="O71" s="5">
        <v>153171.5</v>
      </c>
      <c r="P71" s="5">
        <v>212029</v>
      </c>
      <c r="Q71" s="4">
        <v>0.27600000000000002</v>
      </c>
      <c r="R71" s="4">
        <v>1.4610000000000001</v>
      </c>
      <c r="S71" s="18">
        <v>5.2910000000000004</v>
      </c>
      <c r="T71" s="10">
        <v>1056868</v>
      </c>
      <c r="U71" s="10">
        <v>201635</v>
      </c>
      <c r="V71" s="11">
        <v>0.191</v>
      </c>
      <c r="W71" s="12">
        <f>IF(raceday_22_23[[#This Row],[Last Year Turnover]]=0, "No Corresponding PY Meeting", (raceday_22_23[[#This Row],[Betcha Inc. TO]]-raceday_22_23[[#This Row],[Last Year Turnover]])/raceday_22_23[[#This Row],[Last Year Turnover]])</f>
        <v>-0.2026203709450943</v>
      </c>
      <c r="X71" s="3">
        <f>MONTH(raceday_22_23[[#This Row],[Raceday Date]])</f>
        <v>11</v>
      </c>
      <c r="Y7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1" s="3" t="str">
        <f>raceday_22_23[[#This Row],[Raceday Date]]&amp;raceday_22_23[[#This Row],[Club]]</f>
        <v>45599Kaikoura Trotting Club Inc</v>
      </c>
      <c r="AA71" s="5">
        <f>0.03*raceday_22_23[[#This Row],[Export TO (AUD)]]</f>
        <v>6360.87</v>
      </c>
      <c r="AB71" s="5">
        <f>_xlfn.XLOOKUP(raceday_22_23[[#This Row],[Helper]],'Betcha Integrated'!A:A,'Betcha Integrated'!F:F, 0)</f>
        <v>842725.01380000007</v>
      </c>
      <c r="AC71" s="5">
        <f>_xlfn.XLOOKUP(raceday_22_23[[#This Row],[Helper]],'Betcha Integrated'!A:A,'Betcha Integrated'!G:G, 0)</f>
        <v>231225.54810000001</v>
      </c>
      <c r="AD71" s="5">
        <f>raceday_22_23[[#This Row],[Export Earned]]+raceday_22_23[[#This Row],[Betcha Inc. GBR]]</f>
        <v>237586.41810000001</v>
      </c>
      <c r="AE71" s="88">
        <f>ROUND(raceday_22_23[[#This Row],[Fav. Win %]]*raceday_22_23[[#This Row],[Races]], 0)</f>
        <v>2</v>
      </c>
    </row>
    <row r="72" spans="1:31" x14ac:dyDescent="0.3">
      <c r="A72" s="8">
        <v>45600</v>
      </c>
      <c r="B72" s="3" t="s">
        <v>99</v>
      </c>
      <c r="C72" s="3" t="s">
        <v>100</v>
      </c>
      <c r="D72" s="3" t="s">
        <v>81</v>
      </c>
      <c r="E72" s="3">
        <v>10</v>
      </c>
      <c r="F72" s="3">
        <v>85</v>
      </c>
      <c r="G72" s="3">
        <v>8.5</v>
      </c>
      <c r="H72" s="4">
        <v>0.5</v>
      </c>
      <c r="I72" s="5">
        <v>265649</v>
      </c>
      <c r="J72" s="5">
        <v>26565</v>
      </c>
      <c r="K72" s="4">
        <v>0.93300000000000005</v>
      </c>
      <c r="L72" s="4">
        <v>0.2</v>
      </c>
      <c r="M72" s="5">
        <v>1460393</v>
      </c>
      <c r="N72" s="5">
        <v>253384</v>
      </c>
      <c r="O72" s="5">
        <v>322234</v>
      </c>
      <c r="P72" s="5">
        <v>393338</v>
      </c>
      <c r="Q72" s="4">
        <v>0.17399999999999999</v>
      </c>
      <c r="R72" s="4">
        <v>0.78600000000000003</v>
      </c>
      <c r="S72" s="18">
        <v>4.532</v>
      </c>
      <c r="T72" s="10">
        <v>1479526</v>
      </c>
      <c r="U72" s="10">
        <v>273033</v>
      </c>
      <c r="V72" s="11">
        <v>0.185</v>
      </c>
      <c r="W72" s="12">
        <f>IF(raceday_22_23[[#This Row],[Last Year Turnover]]=0, "No Corresponding PY Meeting", (raceday_22_23[[#This Row],[Betcha Inc. TO]]-raceday_22_23[[#This Row],[Last Year Turnover]])/raceday_22_23[[#This Row],[Last Year Turnover]])</f>
        <v>2.0747438166007194E-2</v>
      </c>
      <c r="X72" s="3">
        <f>MONTH(raceday_22_23[[#This Row],[Raceday Date]])</f>
        <v>11</v>
      </c>
      <c r="Y7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2" s="3" t="str">
        <f>raceday_22_23[[#This Row],[Raceday Date]]&amp;raceday_22_23[[#This Row],[Club]]</f>
        <v>45600Kaikoura Trotting Club Inc</v>
      </c>
      <c r="AA72" s="5">
        <f>0.03*raceday_22_23[[#This Row],[Export TO (AUD)]]</f>
        <v>11800.14</v>
      </c>
      <c r="AB72" s="5">
        <f>_xlfn.XLOOKUP(raceday_22_23[[#This Row],[Helper]],'Betcha Integrated'!A:A,'Betcha Integrated'!F:F, 0)</f>
        <v>1510222.3742</v>
      </c>
      <c r="AC72" s="5">
        <f>_xlfn.XLOOKUP(raceday_22_23[[#This Row],[Helper]],'Betcha Integrated'!A:A,'Betcha Integrated'!G:G, 0)</f>
        <v>262531.34215000004</v>
      </c>
      <c r="AD72" s="5">
        <f>raceday_22_23[[#This Row],[Export Earned]]+raceday_22_23[[#This Row],[Betcha Inc. GBR]]</f>
        <v>274331.48215000005</v>
      </c>
      <c r="AE72" s="88">
        <f>ROUND(raceday_22_23[[#This Row],[Fav. Win %]]*raceday_22_23[[#This Row],[Races]], 0)</f>
        <v>5</v>
      </c>
    </row>
    <row r="73" spans="1:31" x14ac:dyDescent="0.3">
      <c r="A73" s="8">
        <v>45600</v>
      </c>
      <c r="B73" s="3" t="s">
        <v>99</v>
      </c>
      <c r="C73" s="3" t="s">
        <v>101</v>
      </c>
      <c r="D73" s="3" t="s">
        <v>79</v>
      </c>
      <c r="E73" s="3">
        <v>6</v>
      </c>
      <c r="F73" s="3">
        <v>60</v>
      </c>
      <c r="G73" s="3">
        <v>10</v>
      </c>
      <c r="H73" s="4">
        <v>0.66700000000000004</v>
      </c>
      <c r="I73" s="5">
        <v>60769</v>
      </c>
      <c r="J73" s="5">
        <v>10128</v>
      </c>
      <c r="K73" s="4">
        <v>0.245</v>
      </c>
      <c r="L73" s="4">
        <v>0.33300000000000002</v>
      </c>
      <c r="M73" s="5">
        <v>235042</v>
      </c>
      <c r="N73" s="5">
        <v>14877</v>
      </c>
      <c r="O73" s="5">
        <v>79086.3</v>
      </c>
      <c r="P73" s="5">
        <v>164977</v>
      </c>
      <c r="Q73" s="4">
        <v>6.3E-2</v>
      </c>
      <c r="R73" s="4">
        <v>0.188</v>
      </c>
      <c r="S73" s="18">
        <v>2.972</v>
      </c>
      <c r="T73" s="10">
        <v>0</v>
      </c>
      <c r="U73" s="10">
        <v>0</v>
      </c>
      <c r="V73" s="11">
        <v>0</v>
      </c>
      <c r="W7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73" s="3">
        <f>MONTH(raceday_22_23[[#This Row],[Raceday Date]])</f>
        <v>11</v>
      </c>
      <c r="Y7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3" s="3" t="str">
        <f>raceday_22_23[[#This Row],[Raceday Date]]&amp;raceday_22_23[[#This Row],[Club]]</f>
        <v>45600Manawatu Harness Racing Club Inc</v>
      </c>
      <c r="AA73" s="5">
        <f>0.03*raceday_22_23[[#This Row],[Export TO (AUD)]]</f>
        <v>4949.3099999999995</v>
      </c>
      <c r="AB73" s="5">
        <f>_xlfn.XLOOKUP(raceday_22_23[[#This Row],[Helper]],'Betcha Integrated'!A:A,'Betcha Integrated'!F:F, 0)</f>
        <v>244134.8905999999</v>
      </c>
      <c r="AC73" s="5">
        <f>_xlfn.XLOOKUP(raceday_22_23[[#This Row],[Helper]],'Betcha Integrated'!A:A,'Betcha Integrated'!G:G, 0)</f>
        <v>14671.255199999901</v>
      </c>
      <c r="AD73" s="5">
        <f>raceday_22_23[[#This Row],[Export Earned]]+raceday_22_23[[#This Row],[Betcha Inc. GBR]]</f>
        <v>19620.565199999903</v>
      </c>
      <c r="AE73" s="88">
        <f>ROUND(raceday_22_23[[#This Row],[Fav. Win %]]*raceday_22_23[[#This Row],[Races]], 0)</f>
        <v>4</v>
      </c>
    </row>
    <row r="74" spans="1:31" x14ac:dyDescent="0.3">
      <c r="A74" s="8">
        <v>45603</v>
      </c>
      <c r="B74" s="3" t="s">
        <v>74</v>
      </c>
      <c r="C74" s="3" t="s">
        <v>92</v>
      </c>
      <c r="D74" s="3" t="s">
        <v>76</v>
      </c>
      <c r="E74" s="3">
        <v>8</v>
      </c>
      <c r="F74" s="3">
        <v>70</v>
      </c>
      <c r="G74" s="3">
        <v>8.8000000000000007</v>
      </c>
      <c r="H74" s="4">
        <v>0.625</v>
      </c>
      <c r="I74" s="5">
        <v>81961</v>
      </c>
      <c r="J74" s="5">
        <v>10245</v>
      </c>
      <c r="K74" s="4">
        <v>1.3140000000000001</v>
      </c>
      <c r="L74" s="4">
        <v>0.125</v>
      </c>
      <c r="M74" s="5">
        <v>483612</v>
      </c>
      <c r="N74" s="5">
        <v>107677</v>
      </c>
      <c r="O74" s="5">
        <v>107926.2</v>
      </c>
      <c r="P74" s="5">
        <v>224584</v>
      </c>
      <c r="Q74" s="4">
        <v>0.223</v>
      </c>
      <c r="R74" s="4">
        <v>0.998</v>
      </c>
      <c r="S74" s="18">
        <v>4.4809999999999999</v>
      </c>
      <c r="T74" s="10">
        <v>681823</v>
      </c>
      <c r="U74" s="10">
        <v>88614</v>
      </c>
      <c r="V74" s="11">
        <v>0.13</v>
      </c>
      <c r="W74" s="12">
        <f>IF(raceday_22_23[[#This Row],[Last Year Turnover]]=0, "No Corresponding PY Meeting", (raceday_22_23[[#This Row],[Betcha Inc. TO]]-raceday_22_23[[#This Row],[Last Year Turnover]])/raceday_22_23[[#This Row],[Last Year Turnover]])</f>
        <v>-0.26586946450911753</v>
      </c>
      <c r="X74" s="3">
        <f>MONTH(raceday_22_23[[#This Row],[Raceday Date]])</f>
        <v>11</v>
      </c>
      <c r="Y7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4" s="3" t="str">
        <f>raceday_22_23[[#This Row],[Raceday Date]]&amp;raceday_22_23[[#This Row],[Club]]</f>
        <v>45603Oamaru Harness Racing Club Inc</v>
      </c>
      <c r="AA74" s="5">
        <f>0.03*raceday_22_23[[#This Row],[Export TO (AUD)]]</f>
        <v>6737.5199999999995</v>
      </c>
      <c r="AB74" s="5">
        <f>_xlfn.XLOOKUP(raceday_22_23[[#This Row],[Helper]],'Betcha Integrated'!A:A,'Betcha Integrated'!F:F, 0)</f>
        <v>500547.08409999998</v>
      </c>
      <c r="AC74" s="5">
        <f>_xlfn.XLOOKUP(raceday_22_23[[#This Row],[Helper]],'Betcha Integrated'!A:A,'Betcha Integrated'!G:G, 0)</f>
        <v>114317.38975</v>
      </c>
      <c r="AD74" s="5">
        <f>raceday_22_23[[#This Row],[Export Earned]]+raceday_22_23[[#This Row],[Betcha Inc. GBR]]</f>
        <v>121054.90975000001</v>
      </c>
      <c r="AE74" s="88">
        <f>ROUND(raceday_22_23[[#This Row],[Fav. Win %]]*raceday_22_23[[#This Row],[Races]], 0)</f>
        <v>5</v>
      </c>
    </row>
    <row r="75" spans="1:31" x14ac:dyDescent="0.3">
      <c r="A75" s="8">
        <v>45604</v>
      </c>
      <c r="B75" s="3" t="s">
        <v>77</v>
      </c>
      <c r="C75" s="3" t="s">
        <v>89</v>
      </c>
      <c r="D75" s="3" t="s">
        <v>81</v>
      </c>
      <c r="E75" s="3">
        <v>10</v>
      </c>
      <c r="F75" s="3">
        <v>121</v>
      </c>
      <c r="G75" s="3">
        <v>12.1</v>
      </c>
      <c r="H75" s="4">
        <v>0.5</v>
      </c>
      <c r="I75" s="5">
        <v>112604</v>
      </c>
      <c r="J75" s="5">
        <v>11260</v>
      </c>
      <c r="K75" s="4">
        <v>1.1819999999999999</v>
      </c>
      <c r="L75" s="4">
        <v>0.3</v>
      </c>
      <c r="M75" s="5">
        <v>752599</v>
      </c>
      <c r="N75" s="5">
        <v>133079</v>
      </c>
      <c r="O75" s="5">
        <v>145492</v>
      </c>
      <c r="P75" s="5">
        <v>323009</v>
      </c>
      <c r="Q75" s="4">
        <v>0.17699999999999999</v>
      </c>
      <c r="R75" s="4">
        <v>0.91500000000000004</v>
      </c>
      <c r="S75" s="18">
        <v>5.173</v>
      </c>
      <c r="T75" s="10">
        <v>986403</v>
      </c>
      <c r="U75" s="10">
        <v>200174</v>
      </c>
      <c r="V75" s="11">
        <v>0.20300000000000001</v>
      </c>
      <c r="W75" s="12">
        <f>IF(raceday_22_23[[#This Row],[Last Year Turnover]]=0, "No Corresponding PY Meeting", (raceday_22_23[[#This Row],[Betcha Inc. TO]]-raceday_22_23[[#This Row],[Last Year Turnover]])/raceday_22_23[[#This Row],[Last Year Turnover]])</f>
        <v>-0.20982543504024323</v>
      </c>
      <c r="X75" s="3">
        <f>MONTH(raceday_22_23[[#This Row],[Raceday Date]])</f>
        <v>11</v>
      </c>
      <c r="Y7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5" s="3" t="str">
        <f>raceday_22_23[[#This Row],[Raceday Date]]&amp;raceday_22_23[[#This Row],[Club]]</f>
        <v>45604Rangiora Harness Racing Club Inc</v>
      </c>
      <c r="AA75" s="5">
        <f>0.03*raceday_22_23[[#This Row],[Export TO (AUD)]]</f>
        <v>9690.27</v>
      </c>
      <c r="AB75" s="5">
        <f>_xlfn.XLOOKUP(raceday_22_23[[#This Row],[Helper]],'Betcha Integrated'!A:A,'Betcha Integrated'!F:F, 0)</f>
        <v>779430.56139999896</v>
      </c>
      <c r="AC75" s="5">
        <f>_xlfn.XLOOKUP(raceday_22_23[[#This Row],[Helper]],'Betcha Integrated'!A:A,'Betcha Integrated'!G:G, 0)</f>
        <v>136220.7460999999</v>
      </c>
      <c r="AD75" s="5">
        <f>raceday_22_23[[#This Row],[Export Earned]]+raceday_22_23[[#This Row],[Betcha Inc. GBR]]</f>
        <v>145911.01609999989</v>
      </c>
      <c r="AE75" s="88">
        <f>ROUND(raceday_22_23[[#This Row],[Fav. Win %]]*raceday_22_23[[#This Row],[Races]], 0)</f>
        <v>5</v>
      </c>
    </row>
    <row r="76" spans="1:31" x14ac:dyDescent="0.3">
      <c r="A76" s="8">
        <v>45604</v>
      </c>
      <c r="B76" s="3" t="s">
        <v>77</v>
      </c>
      <c r="C76" s="3" t="s">
        <v>78</v>
      </c>
      <c r="D76" s="3" t="s">
        <v>79</v>
      </c>
      <c r="E76" s="3">
        <v>9</v>
      </c>
      <c r="F76" s="3">
        <v>75</v>
      </c>
      <c r="G76" s="3">
        <v>8.3000000000000007</v>
      </c>
      <c r="H76" s="4">
        <v>0.55600000000000005</v>
      </c>
      <c r="I76" s="5">
        <v>166498</v>
      </c>
      <c r="J76" s="5">
        <v>18500</v>
      </c>
      <c r="K76" s="4">
        <v>0.76800000000000002</v>
      </c>
      <c r="L76" s="4">
        <v>0.222</v>
      </c>
      <c r="M76" s="5">
        <v>664934</v>
      </c>
      <c r="N76" s="5">
        <v>127861</v>
      </c>
      <c r="O76" s="5">
        <v>193009.38</v>
      </c>
      <c r="P76" s="5">
        <v>251700</v>
      </c>
      <c r="Q76" s="4">
        <v>0.192</v>
      </c>
      <c r="R76" s="4">
        <v>0.66200000000000003</v>
      </c>
      <c r="S76" s="18">
        <v>3.4449999999999998</v>
      </c>
      <c r="T76" s="10">
        <v>0</v>
      </c>
      <c r="U76" s="10">
        <v>0</v>
      </c>
      <c r="V76" s="11">
        <v>0</v>
      </c>
      <c r="W7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76" s="3">
        <f>MONTH(raceday_22_23[[#This Row],[Raceday Date]])</f>
        <v>11</v>
      </c>
      <c r="Y7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6" s="3" t="str">
        <f>raceday_22_23[[#This Row],[Raceday Date]]&amp;raceday_22_23[[#This Row],[Club]]</f>
        <v>45604Auckland Trotting Club Inc</v>
      </c>
      <c r="AA76" s="5">
        <f>0.03*raceday_22_23[[#This Row],[Export TO (AUD)]]</f>
        <v>7551</v>
      </c>
      <c r="AB76" s="5">
        <f>_xlfn.XLOOKUP(raceday_22_23[[#This Row],[Helper]],'Betcha Integrated'!A:A,'Betcha Integrated'!F:F, 0)</f>
        <v>697463.51339999994</v>
      </c>
      <c r="AC76" s="5">
        <f>_xlfn.XLOOKUP(raceday_22_23[[#This Row],[Helper]],'Betcha Integrated'!A:A,'Betcha Integrated'!G:G, 0)</f>
        <v>132555.9106</v>
      </c>
      <c r="AD76" s="5">
        <f>raceday_22_23[[#This Row],[Export Earned]]+raceday_22_23[[#This Row],[Betcha Inc. GBR]]</f>
        <v>140106.9106</v>
      </c>
      <c r="AE76" s="88">
        <f>ROUND(raceday_22_23[[#This Row],[Fav. Win %]]*raceday_22_23[[#This Row],[Races]], 0)</f>
        <v>5</v>
      </c>
    </row>
    <row r="77" spans="1:31" x14ac:dyDescent="0.3">
      <c r="A77" s="8">
        <v>45606</v>
      </c>
      <c r="B77" s="3" t="s">
        <v>82</v>
      </c>
      <c r="C77" s="3" t="s">
        <v>90</v>
      </c>
      <c r="D77" s="3" t="s">
        <v>76</v>
      </c>
      <c r="E77" s="3">
        <v>10</v>
      </c>
      <c r="F77" s="3">
        <v>90</v>
      </c>
      <c r="G77" s="3">
        <v>9</v>
      </c>
      <c r="H77" s="4">
        <v>0.1</v>
      </c>
      <c r="I77" s="5">
        <v>111892</v>
      </c>
      <c r="J77" s="5">
        <v>11189</v>
      </c>
      <c r="K77" s="4">
        <v>1.5880000000000001</v>
      </c>
      <c r="L77" s="4">
        <v>0.3</v>
      </c>
      <c r="M77" s="5">
        <v>756521</v>
      </c>
      <c r="N77" s="5">
        <v>177680</v>
      </c>
      <c r="O77" s="5">
        <v>147366.70000000001</v>
      </c>
      <c r="P77" s="5">
        <v>244754</v>
      </c>
      <c r="Q77" s="4">
        <v>0.23499999999999999</v>
      </c>
      <c r="R77" s="4">
        <v>1.206</v>
      </c>
      <c r="S77" s="18">
        <v>5.1340000000000003</v>
      </c>
      <c r="T77" s="10">
        <v>722489</v>
      </c>
      <c r="U77" s="10">
        <v>131767</v>
      </c>
      <c r="V77" s="11">
        <v>0.182</v>
      </c>
      <c r="W77" s="12">
        <f>IF(raceday_22_23[[#This Row],[Last Year Turnover]]=0, "No Corresponding PY Meeting", (raceday_22_23[[#This Row],[Betcha Inc. TO]]-raceday_22_23[[#This Row],[Last Year Turnover]])/raceday_22_23[[#This Row],[Last Year Turnover]])</f>
        <v>8.9541375854855929E-2</v>
      </c>
      <c r="X77" s="3">
        <f>MONTH(raceday_22_23[[#This Row],[Raceday Date]])</f>
        <v>11</v>
      </c>
      <c r="Y7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7" s="3" t="str">
        <f>raceday_22_23[[#This Row],[Raceday Date]]&amp;raceday_22_23[[#This Row],[Club]]</f>
        <v>45606Wyndham Harness Racing Club Inc</v>
      </c>
      <c r="AA77" s="5">
        <f>0.03*raceday_22_23[[#This Row],[Export TO (AUD)]]</f>
        <v>7342.62</v>
      </c>
      <c r="AB77" s="5">
        <f>_xlfn.XLOOKUP(raceday_22_23[[#This Row],[Helper]],'Betcha Integrated'!A:A,'Betcha Integrated'!F:F, 0)</f>
        <v>787181.659099999</v>
      </c>
      <c r="AC77" s="5">
        <f>_xlfn.XLOOKUP(raceday_22_23[[#This Row],[Helper]],'Betcha Integrated'!A:A,'Betcha Integrated'!G:G, 0)</f>
        <v>192229.70529999991</v>
      </c>
      <c r="AD77" s="5">
        <f>raceday_22_23[[#This Row],[Export Earned]]+raceday_22_23[[#This Row],[Betcha Inc. GBR]]</f>
        <v>199572.32529999991</v>
      </c>
      <c r="AE77" s="88">
        <f>ROUND(raceday_22_23[[#This Row],[Fav. Win %]]*raceday_22_23[[#This Row],[Races]], 0)</f>
        <v>1</v>
      </c>
    </row>
    <row r="78" spans="1:31" x14ac:dyDescent="0.3">
      <c r="A78" s="8">
        <v>45607</v>
      </c>
      <c r="B78" s="3" t="s">
        <v>99</v>
      </c>
      <c r="C78" s="3" t="s">
        <v>101</v>
      </c>
      <c r="D78" s="3" t="s">
        <v>79</v>
      </c>
      <c r="E78" s="3">
        <v>6</v>
      </c>
      <c r="F78" s="3">
        <v>42</v>
      </c>
      <c r="G78" s="3">
        <v>7</v>
      </c>
      <c r="H78" s="4">
        <v>0.66700000000000004</v>
      </c>
      <c r="I78" s="5">
        <v>57505</v>
      </c>
      <c r="J78" s="5">
        <v>9584</v>
      </c>
      <c r="K78" s="4">
        <v>0.70099999999999996</v>
      </c>
      <c r="L78" s="4">
        <v>0</v>
      </c>
      <c r="M78" s="5">
        <v>193506</v>
      </c>
      <c r="N78" s="5">
        <v>40314</v>
      </c>
      <c r="O78" s="5">
        <v>75822.55</v>
      </c>
      <c r="P78" s="5">
        <v>94855</v>
      </c>
      <c r="Q78" s="4">
        <v>0.20799999999999999</v>
      </c>
      <c r="R78" s="4">
        <v>0.53200000000000003</v>
      </c>
      <c r="S78" s="18">
        <v>2.552</v>
      </c>
      <c r="T78" s="10">
        <v>0</v>
      </c>
      <c r="U78" s="10">
        <v>0</v>
      </c>
      <c r="V78" s="11">
        <v>0</v>
      </c>
      <c r="W7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78" s="3">
        <f>MONTH(raceday_22_23[[#This Row],[Raceday Date]])</f>
        <v>11</v>
      </c>
      <c r="Y7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8" s="3" t="str">
        <f>raceday_22_23[[#This Row],[Raceday Date]]&amp;raceday_22_23[[#This Row],[Club]]</f>
        <v>45607Manawatu Harness Racing Club Inc</v>
      </c>
      <c r="AA78" s="5">
        <f>0.03*raceday_22_23[[#This Row],[Export TO (AUD)]]</f>
        <v>2845.65</v>
      </c>
      <c r="AB78" s="5">
        <f>_xlfn.XLOOKUP(raceday_22_23[[#This Row],[Helper]],'Betcha Integrated'!A:A,'Betcha Integrated'!F:F, 0)</f>
        <v>205334.85469999991</v>
      </c>
      <c r="AC78" s="5">
        <f>_xlfn.XLOOKUP(raceday_22_23[[#This Row],[Helper]],'Betcha Integrated'!A:A,'Betcha Integrated'!G:G, 0)</f>
        <v>43095.024599999902</v>
      </c>
      <c r="AD78" s="5">
        <f>raceday_22_23[[#This Row],[Export Earned]]+raceday_22_23[[#This Row],[Betcha Inc. GBR]]</f>
        <v>45940.674599999904</v>
      </c>
      <c r="AE78" s="88">
        <f>ROUND(raceday_22_23[[#This Row],[Fav. Win %]]*raceday_22_23[[#This Row],[Races]], 0)</f>
        <v>4</v>
      </c>
    </row>
    <row r="79" spans="1:31" x14ac:dyDescent="0.3">
      <c r="A79" s="8">
        <v>45608</v>
      </c>
      <c r="B79" s="3" t="s">
        <v>83</v>
      </c>
      <c r="C79" s="3" t="s">
        <v>80</v>
      </c>
      <c r="D79" s="3" t="s">
        <v>81</v>
      </c>
      <c r="E79" s="3">
        <v>12</v>
      </c>
      <c r="F79" s="3">
        <v>169</v>
      </c>
      <c r="G79" s="3">
        <v>14.1</v>
      </c>
      <c r="H79" s="4">
        <v>0.41699999999999998</v>
      </c>
      <c r="I79" s="5">
        <v>2036150</v>
      </c>
      <c r="J79" s="5">
        <v>169679</v>
      </c>
      <c r="K79" s="4">
        <v>0.64100000000000001</v>
      </c>
      <c r="L79" s="4">
        <v>0.25</v>
      </c>
      <c r="M79" s="5">
        <v>6912232</v>
      </c>
      <c r="N79" s="5">
        <v>1304243</v>
      </c>
      <c r="O79" s="5">
        <v>2073846.92</v>
      </c>
      <c r="P79" s="5">
        <v>889285</v>
      </c>
      <c r="Q79" s="4">
        <v>0.189</v>
      </c>
      <c r="R79" s="4">
        <v>0.629</v>
      </c>
      <c r="S79" s="18">
        <v>3.3330000000000002</v>
      </c>
      <c r="T79" s="10">
        <v>6939172</v>
      </c>
      <c r="U79" s="10">
        <v>1647041</v>
      </c>
      <c r="V79" s="11">
        <v>0.23699999999999999</v>
      </c>
      <c r="W79" s="12">
        <f>IF(raceday_22_23[[#This Row],[Last Year Turnover]]=0, "No Corresponding PY Meeting", (raceday_22_23[[#This Row],[Betcha Inc. TO]]-raceday_22_23[[#This Row],[Last Year Turnover]])/raceday_22_23[[#This Row],[Last Year Turnover]])</f>
        <v>4.896853713958961E-2</v>
      </c>
      <c r="X79" s="3">
        <f>MONTH(raceday_22_23[[#This Row],[Raceday Date]])</f>
        <v>11</v>
      </c>
      <c r="Y7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79" s="3" t="str">
        <f>raceday_22_23[[#This Row],[Raceday Date]]&amp;raceday_22_23[[#This Row],[Club]]</f>
        <v>45608NZ Metropolitan Trotting Club Inc</v>
      </c>
      <c r="AA79" s="5">
        <f>0.03*raceday_22_23[[#This Row],[Export TO (AUD)]]</f>
        <v>26678.55</v>
      </c>
      <c r="AB79" s="5">
        <f>_xlfn.XLOOKUP(raceday_22_23[[#This Row],[Helper]],'Betcha Integrated'!A:A,'Betcha Integrated'!F:F, 0)</f>
        <v>7278973.1018000003</v>
      </c>
      <c r="AC79" s="5">
        <f>_xlfn.XLOOKUP(raceday_22_23[[#This Row],[Helper]],'Betcha Integrated'!A:A,'Betcha Integrated'!G:G, 0)</f>
        <v>1474208.9572000001</v>
      </c>
      <c r="AD79" s="5">
        <f>raceday_22_23[[#This Row],[Export Earned]]+raceday_22_23[[#This Row],[Betcha Inc. GBR]]</f>
        <v>1500887.5072000001</v>
      </c>
      <c r="AE79" s="88">
        <f>ROUND(raceday_22_23[[#This Row],[Fav. Win %]]*raceday_22_23[[#This Row],[Races]], 0)</f>
        <v>5</v>
      </c>
    </row>
    <row r="80" spans="1:31" x14ac:dyDescent="0.3">
      <c r="A80" s="8">
        <v>45610</v>
      </c>
      <c r="B80" s="3" t="s">
        <v>74</v>
      </c>
      <c r="C80" s="3" t="s">
        <v>86</v>
      </c>
      <c r="D80" s="3" t="s">
        <v>81</v>
      </c>
      <c r="E80" s="3">
        <v>14</v>
      </c>
      <c r="F80" s="3">
        <v>195</v>
      </c>
      <c r="G80" s="3">
        <v>13.9</v>
      </c>
      <c r="H80" s="4">
        <v>0.35699999999999998</v>
      </c>
      <c r="I80" s="5">
        <v>246033</v>
      </c>
      <c r="J80" s="5">
        <v>17574</v>
      </c>
      <c r="K80" s="4">
        <v>0.94899999999999995</v>
      </c>
      <c r="L80" s="4">
        <v>0.14299999999999999</v>
      </c>
      <c r="M80" s="5">
        <v>1623394</v>
      </c>
      <c r="N80" s="5">
        <v>233402</v>
      </c>
      <c r="O80" s="5">
        <v>275822.74</v>
      </c>
      <c r="P80" s="5">
        <v>485157</v>
      </c>
      <c r="Q80" s="4">
        <v>0.14399999999999999</v>
      </c>
      <c r="R80" s="4">
        <v>0.84599999999999997</v>
      </c>
      <c r="S80" s="18">
        <v>5.8860000000000001</v>
      </c>
      <c r="T80" s="10">
        <v>1224137</v>
      </c>
      <c r="U80" s="10">
        <v>206761</v>
      </c>
      <c r="V80" s="11">
        <v>0.16900000000000001</v>
      </c>
      <c r="W80" s="12">
        <f>IF(raceday_22_23[[#This Row],[Last Year Turnover]]=0, "No Corresponding PY Meeting", (raceday_22_23[[#This Row],[Betcha Inc. TO]]-raceday_22_23[[#This Row],[Last Year Turnover]])/raceday_22_23[[#This Row],[Last Year Turnover]])</f>
        <v>0.37617713417697518</v>
      </c>
      <c r="X80" s="3">
        <f>MONTH(raceday_22_23[[#This Row],[Raceday Date]])</f>
        <v>11</v>
      </c>
      <c r="Y8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0" s="3" t="str">
        <f>raceday_22_23[[#This Row],[Raceday Date]]&amp;raceday_22_23[[#This Row],[Club]]</f>
        <v>45610Ashburton Trotting Club Inc</v>
      </c>
      <c r="AA80" s="5">
        <f>0.03*raceday_22_23[[#This Row],[Export TO (AUD)]]</f>
        <v>14554.71</v>
      </c>
      <c r="AB80" s="5">
        <f>_xlfn.XLOOKUP(raceday_22_23[[#This Row],[Helper]],'Betcha Integrated'!A:A,'Betcha Integrated'!F:F, 0)</f>
        <v>1684629.3484999998</v>
      </c>
      <c r="AC80" s="5">
        <f>_xlfn.XLOOKUP(raceday_22_23[[#This Row],[Helper]],'Betcha Integrated'!A:A,'Betcha Integrated'!G:G, 0)</f>
        <v>243068.51835000003</v>
      </c>
      <c r="AD80" s="5">
        <f>raceday_22_23[[#This Row],[Export Earned]]+raceday_22_23[[#This Row],[Betcha Inc. GBR]]</f>
        <v>257623.22835000002</v>
      </c>
      <c r="AE80" s="88">
        <f>ROUND(raceday_22_23[[#This Row],[Fav. Win %]]*raceday_22_23[[#This Row],[Races]], 0)</f>
        <v>5</v>
      </c>
    </row>
    <row r="81" spans="1:31" x14ac:dyDescent="0.3">
      <c r="A81" s="8">
        <v>45611</v>
      </c>
      <c r="B81" s="3" t="s">
        <v>77</v>
      </c>
      <c r="C81" s="3" t="s">
        <v>80</v>
      </c>
      <c r="D81" s="3" t="s">
        <v>81</v>
      </c>
      <c r="E81" s="3">
        <v>13</v>
      </c>
      <c r="F81" s="3">
        <v>149</v>
      </c>
      <c r="G81" s="3">
        <v>11.5</v>
      </c>
      <c r="H81" s="4">
        <v>0.23100000000000001</v>
      </c>
      <c r="I81" s="5">
        <v>1834749</v>
      </c>
      <c r="J81" s="5">
        <v>141135</v>
      </c>
      <c r="K81" s="4">
        <v>0.78400000000000003</v>
      </c>
      <c r="L81" s="4">
        <v>0.308</v>
      </c>
      <c r="M81" s="5">
        <v>4239908</v>
      </c>
      <c r="N81" s="5">
        <v>1438805</v>
      </c>
      <c r="O81" s="5">
        <v>1337256.92</v>
      </c>
      <c r="P81" s="5">
        <v>921569</v>
      </c>
      <c r="Q81" s="4">
        <v>0.33900000000000002</v>
      </c>
      <c r="R81" s="4">
        <v>1.0760000000000001</v>
      </c>
      <c r="S81" s="18">
        <v>3.1709999999999998</v>
      </c>
      <c r="T81" s="10">
        <v>3381897</v>
      </c>
      <c r="U81" s="10">
        <v>863165</v>
      </c>
      <c r="V81" s="11">
        <v>0.255</v>
      </c>
      <c r="W81" s="12">
        <f>IF(raceday_22_23[[#This Row],[Last Year Turnover]]=0, "No Corresponding PY Meeting", (raceday_22_23[[#This Row],[Betcha Inc. TO]]-raceday_22_23[[#This Row],[Last Year Turnover]])/raceday_22_23[[#This Row],[Last Year Turnover]])</f>
        <v>0.27550620666448428</v>
      </c>
      <c r="X81" s="3">
        <f>MONTH(raceday_22_23[[#This Row],[Raceday Date]])</f>
        <v>11</v>
      </c>
      <c r="Y8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1" s="3" t="str">
        <f>raceday_22_23[[#This Row],[Raceday Date]]&amp;raceday_22_23[[#This Row],[Club]]</f>
        <v>45611NZ Metropolitan Trotting Club Inc</v>
      </c>
      <c r="AA81" s="5">
        <f>0.03*raceday_22_23[[#This Row],[Export TO (AUD)]]</f>
        <v>27647.07</v>
      </c>
      <c r="AB81" s="5">
        <f>_xlfn.XLOOKUP(raceday_22_23[[#This Row],[Helper]],'Betcha Integrated'!A:A,'Betcha Integrated'!F:F, 0)</f>
        <v>4313630.6137999995</v>
      </c>
      <c r="AC81" s="5">
        <f>_xlfn.XLOOKUP(raceday_22_23[[#This Row],[Helper]],'Betcha Integrated'!A:A,'Betcha Integrated'!G:G, 0)</f>
        <v>1454927.2764999999</v>
      </c>
      <c r="AD81" s="5">
        <f>raceday_22_23[[#This Row],[Export Earned]]+raceday_22_23[[#This Row],[Betcha Inc. GBR]]</f>
        <v>1482574.3465</v>
      </c>
      <c r="AE81" s="88">
        <f>ROUND(raceday_22_23[[#This Row],[Fav. Win %]]*raceday_22_23[[#This Row],[Races]], 0)</f>
        <v>3</v>
      </c>
    </row>
    <row r="82" spans="1:31" x14ac:dyDescent="0.3">
      <c r="A82" s="8">
        <v>45611</v>
      </c>
      <c r="B82" s="3" t="s">
        <v>77</v>
      </c>
      <c r="C82" s="3" t="s">
        <v>84</v>
      </c>
      <c r="D82" s="3" t="s">
        <v>79</v>
      </c>
      <c r="E82" s="3">
        <v>11</v>
      </c>
      <c r="F82" s="3">
        <v>98</v>
      </c>
      <c r="G82" s="3">
        <v>8.9</v>
      </c>
      <c r="H82" s="4">
        <v>0.45500000000000002</v>
      </c>
      <c r="I82" s="5">
        <v>161250</v>
      </c>
      <c r="J82" s="5">
        <v>14659</v>
      </c>
      <c r="K82" s="4">
        <v>0.502</v>
      </c>
      <c r="L82" s="4">
        <v>0.27300000000000002</v>
      </c>
      <c r="M82" s="5">
        <v>728755</v>
      </c>
      <c r="N82" s="5">
        <v>80998</v>
      </c>
      <c r="O82" s="5">
        <v>186541.24</v>
      </c>
      <c r="P82" s="5">
        <v>331074</v>
      </c>
      <c r="Q82" s="4">
        <v>0.111</v>
      </c>
      <c r="R82" s="4">
        <v>0.434</v>
      </c>
      <c r="S82" s="18">
        <v>3.907</v>
      </c>
      <c r="T82" s="10">
        <v>0</v>
      </c>
      <c r="U82" s="10">
        <v>0</v>
      </c>
      <c r="V82" s="11">
        <v>0</v>
      </c>
      <c r="W8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82" s="3">
        <f>MONTH(raceday_22_23[[#This Row],[Raceday Date]])</f>
        <v>11</v>
      </c>
      <c r="Y8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2" s="3" t="str">
        <f>raceday_22_23[[#This Row],[Raceday Date]]&amp;raceday_22_23[[#This Row],[Club]]</f>
        <v>45611Waikato Bay of Plenty Harness Inc</v>
      </c>
      <c r="AA82" s="5">
        <f>0.03*raceday_22_23[[#This Row],[Export TO (AUD)]]</f>
        <v>9932.2199999999993</v>
      </c>
      <c r="AB82" s="5">
        <f>_xlfn.XLOOKUP(raceday_22_23[[#This Row],[Helper]],'Betcha Integrated'!A:A,'Betcha Integrated'!F:F, 0)</f>
        <v>762172.52199999895</v>
      </c>
      <c r="AC82" s="5">
        <f>_xlfn.XLOOKUP(raceday_22_23[[#This Row],[Helper]],'Betcha Integrated'!A:A,'Betcha Integrated'!G:G, 0)</f>
        <v>90412.226849999905</v>
      </c>
      <c r="AD82" s="5">
        <f>raceday_22_23[[#This Row],[Export Earned]]+raceday_22_23[[#This Row],[Betcha Inc. GBR]]</f>
        <v>100344.44684999991</v>
      </c>
      <c r="AE82" s="88">
        <f>ROUND(raceday_22_23[[#This Row],[Fav. Win %]]*raceday_22_23[[#This Row],[Races]], 0)</f>
        <v>5</v>
      </c>
    </row>
    <row r="83" spans="1:31" x14ac:dyDescent="0.3">
      <c r="A83" s="8">
        <v>45613</v>
      </c>
      <c r="B83" s="3" t="s">
        <v>82</v>
      </c>
      <c r="C83" s="3" t="s">
        <v>75</v>
      </c>
      <c r="D83" s="3" t="s">
        <v>76</v>
      </c>
      <c r="E83" s="3">
        <v>8</v>
      </c>
      <c r="F83" s="3">
        <v>71</v>
      </c>
      <c r="G83" s="3">
        <v>8.9</v>
      </c>
      <c r="H83" s="4">
        <v>0.375</v>
      </c>
      <c r="I83" s="5">
        <v>87978</v>
      </c>
      <c r="J83" s="5">
        <v>10997</v>
      </c>
      <c r="K83" s="4">
        <v>0.85899999999999999</v>
      </c>
      <c r="L83" s="4">
        <v>0</v>
      </c>
      <c r="M83" s="5">
        <v>564575</v>
      </c>
      <c r="N83" s="5">
        <v>75583</v>
      </c>
      <c r="O83" s="5">
        <v>110183.34</v>
      </c>
      <c r="P83" s="5">
        <v>222213</v>
      </c>
      <c r="Q83" s="4">
        <v>0.13400000000000001</v>
      </c>
      <c r="R83" s="4">
        <v>0.68600000000000005</v>
      </c>
      <c r="S83" s="18">
        <v>5.1239999999999997</v>
      </c>
      <c r="T83" s="10">
        <v>726026</v>
      </c>
      <c r="U83" s="10">
        <v>187624</v>
      </c>
      <c r="V83" s="11">
        <v>0.25800000000000001</v>
      </c>
      <c r="W83" s="12">
        <f>IF(raceday_22_23[[#This Row],[Last Year Turnover]]=0, "No Corresponding PY Meeting", (raceday_22_23[[#This Row],[Betcha Inc. TO]]-raceday_22_23[[#This Row],[Last Year Turnover]])/raceday_22_23[[#This Row],[Last Year Turnover]])</f>
        <v>-0.18798589623512105</v>
      </c>
      <c r="X83" s="3">
        <f>MONTH(raceday_22_23[[#This Row],[Raceday Date]])</f>
        <v>11</v>
      </c>
      <c r="Y8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3" s="3" t="str">
        <f>raceday_22_23[[#This Row],[Raceday Date]]&amp;raceday_22_23[[#This Row],[Club]]</f>
        <v>45613Winton Harness Racing Club Inc</v>
      </c>
      <c r="AA83" s="5">
        <f>0.03*raceday_22_23[[#This Row],[Export TO (AUD)]]</f>
        <v>6666.3899999999994</v>
      </c>
      <c r="AB83" s="5">
        <f>_xlfn.XLOOKUP(raceday_22_23[[#This Row],[Helper]],'Betcha Integrated'!A:A,'Betcha Integrated'!F:F, 0)</f>
        <v>589543.3517</v>
      </c>
      <c r="AC83" s="5">
        <f>_xlfn.XLOOKUP(raceday_22_23[[#This Row],[Helper]],'Betcha Integrated'!A:A,'Betcha Integrated'!G:G, 0)</f>
        <v>75475.027849999999</v>
      </c>
      <c r="AD83" s="5">
        <f>raceday_22_23[[#This Row],[Export Earned]]+raceday_22_23[[#This Row],[Betcha Inc. GBR]]</f>
        <v>82141.417849999998</v>
      </c>
      <c r="AE83" s="88">
        <f>ROUND(raceday_22_23[[#This Row],[Fav. Win %]]*raceday_22_23[[#This Row],[Races]], 0)</f>
        <v>3</v>
      </c>
    </row>
    <row r="84" spans="1:31" x14ac:dyDescent="0.3">
      <c r="A84" s="8">
        <v>45615</v>
      </c>
      <c r="B84" s="3" t="s">
        <v>83</v>
      </c>
      <c r="C84" s="3" t="s">
        <v>101</v>
      </c>
      <c r="D84" s="3" t="s">
        <v>79</v>
      </c>
      <c r="E84" s="3">
        <v>7</v>
      </c>
      <c r="F84" s="3">
        <v>49</v>
      </c>
      <c r="G84" s="3">
        <v>7</v>
      </c>
      <c r="H84" s="4">
        <v>0.28599999999999998</v>
      </c>
      <c r="I84" s="5">
        <v>77396</v>
      </c>
      <c r="J84" s="5">
        <v>11057</v>
      </c>
      <c r="K84" s="4">
        <v>1.262</v>
      </c>
      <c r="L84" s="4">
        <v>0.28599999999999998</v>
      </c>
      <c r="M84" s="5">
        <v>322398</v>
      </c>
      <c r="N84" s="5">
        <v>97674</v>
      </c>
      <c r="O84" s="5">
        <v>93923.8</v>
      </c>
      <c r="P84" s="5">
        <v>156374</v>
      </c>
      <c r="Q84" s="4">
        <v>0.30299999999999999</v>
      </c>
      <c r="R84" s="4">
        <v>1.04</v>
      </c>
      <c r="S84" s="18">
        <v>3.4329999999999998</v>
      </c>
      <c r="T84" s="10">
        <v>296473</v>
      </c>
      <c r="U84" s="10">
        <v>65055</v>
      </c>
      <c r="V84" s="11">
        <v>0.219</v>
      </c>
      <c r="W84" s="12">
        <f>IF(raceday_22_23[[#This Row],[Last Year Turnover]]=0, "No Corresponding PY Meeting", (raceday_22_23[[#This Row],[Betcha Inc. TO]]-raceday_22_23[[#This Row],[Last Year Turnover]])/raceday_22_23[[#This Row],[Last Year Turnover]])</f>
        <v>0.13805426564981968</v>
      </c>
      <c r="X84" s="3">
        <f>MONTH(raceday_22_23[[#This Row],[Raceday Date]])</f>
        <v>11</v>
      </c>
      <c r="Y8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4" s="3" t="str">
        <f>raceday_22_23[[#This Row],[Raceday Date]]&amp;raceday_22_23[[#This Row],[Club]]</f>
        <v>45615Manawatu Harness Racing Club Inc</v>
      </c>
      <c r="AA84" s="5">
        <f>0.03*raceday_22_23[[#This Row],[Export TO (AUD)]]</f>
        <v>4691.22</v>
      </c>
      <c r="AB84" s="5">
        <f>_xlfn.XLOOKUP(raceday_22_23[[#This Row],[Helper]],'Betcha Integrated'!A:A,'Betcha Integrated'!F:F, 0)</f>
        <v>337402.36229999899</v>
      </c>
      <c r="AC84" s="5">
        <f>_xlfn.XLOOKUP(raceday_22_23[[#This Row],[Helper]],'Betcha Integrated'!A:A,'Betcha Integrated'!G:G, 0)</f>
        <v>103491.86779999989</v>
      </c>
      <c r="AD84" s="5">
        <f>raceday_22_23[[#This Row],[Export Earned]]+raceday_22_23[[#This Row],[Betcha Inc. GBR]]</f>
        <v>108183.08779999989</v>
      </c>
      <c r="AE84" s="88">
        <f>ROUND(raceday_22_23[[#This Row],[Fav. Win %]]*raceday_22_23[[#This Row],[Races]], 0)</f>
        <v>2</v>
      </c>
    </row>
    <row r="85" spans="1:31" x14ac:dyDescent="0.3">
      <c r="A85" s="8">
        <v>45616</v>
      </c>
      <c r="B85" s="3" t="s">
        <v>96</v>
      </c>
      <c r="C85" s="3" t="s">
        <v>89</v>
      </c>
      <c r="D85" s="3" t="s">
        <v>81</v>
      </c>
      <c r="E85" s="3">
        <v>8</v>
      </c>
      <c r="F85" s="3">
        <v>67</v>
      </c>
      <c r="G85" s="3">
        <v>8.4</v>
      </c>
      <c r="H85" s="4">
        <v>0.75</v>
      </c>
      <c r="I85" s="5">
        <v>78627</v>
      </c>
      <c r="J85" s="5">
        <v>9828</v>
      </c>
      <c r="K85" s="4">
        <v>-0.26600000000000001</v>
      </c>
      <c r="L85" s="4">
        <v>0.25</v>
      </c>
      <c r="M85" s="5">
        <v>479852</v>
      </c>
      <c r="N85" s="5">
        <v>-20889</v>
      </c>
      <c r="O85" s="5">
        <v>111514.5</v>
      </c>
      <c r="P85" s="5">
        <v>247945</v>
      </c>
      <c r="Q85" s="4">
        <v>-4.3999999999999997E-2</v>
      </c>
      <c r="R85" s="4">
        <v>-0.187</v>
      </c>
      <c r="S85" s="18">
        <v>4.3029999999999999</v>
      </c>
      <c r="T85" s="10">
        <v>507525</v>
      </c>
      <c r="U85" s="10">
        <v>167810</v>
      </c>
      <c r="V85" s="11">
        <v>0.33100000000000002</v>
      </c>
      <c r="W85" s="12">
        <f>IF(raceday_22_23[[#This Row],[Last Year Turnover]]=0, "No Corresponding PY Meeting", (raceday_22_23[[#This Row],[Betcha Inc. TO]]-raceday_22_23[[#This Row],[Last Year Turnover]])/raceday_22_23[[#This Row],[Last Year Turnover]])</f>
        <v>-2.0354910398504455E-2</v>
      </c>
      <c r="X85" s="3">
        <f>MONTH(raceday_22_23[[#This Row],[Raceday Date]])</f>
        <v>11</v>
      </c>
      <c r="Y8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5" s="3" t="str">
        <f>raceday_22_23[[#This Row],[Raceday Date]]&amp;raceday_22_23[[#This Row],[Club]]</f>
        <v>45616Rangiora Harness Racing Club Inc</v>
      </c>
      <c r="AA85" s="5">
        <f>0.03*raceday_22_23[[#This Row],[Export TO (AUD)]]</f>
        <v>7438.3499999999995</v>
      </c>
      <c r="AB85" s="5">
        <f>_xlfn.XLOOKUP(raceday_22_23[[#This Row],[Helper]],'Betcha Integrated'!A:A,'Betcha Integrated'!F:F, 0)</f>
        <v>497194.37409999903</v>
      </c>
      <c r="AC85" s="5">
        <f>_xlfn.XLOOKUP(raceday_22_23[[#This Row],[Helper]],'Betcha Integrated'!A:A,'Betcha Integrated'!G:G, 0)</f>
        <v>-20092.295800000102</v>
      </c>
      <c r="AD85" s="5">
        <f>raceday_22_23[[#This Row],[Export Earned]]+raceday_22_23[[#This Row],[Betcha Inc. GBR]]</f>
        <v>-12653.945800000103</v>
      </c>
      <c r="AE85" s="88">
        <f>ROUND(raceday_22_23[[#This Row],[Fav. Win %]]*raceday_22_23[[#This Row],[Races]], 0)</f>
        <v>6</v>
      </c>
    </row>
    <row r="86" spans="1:31" x14ac:dyDescent="0.3">
      <c r="A86" s="8">
        <v>45617</v>
      </c>
      <c r="B86" s="3" t="s">
        <v>74</v>
      </c>
      <c r="C86" s="3" t="s">
        <v>101</v>
      </c>
      <c r="D86" s="3" t="s">
        <v>79</v>
      </c>
      <c r="E86" s="3">
        <v>7</v>
      </c>
      <c r="F86" s="3">
        <v>46</v>
      </c>
      <c r="G86" s="3">
        <v>6.6</v>
      </c>
      <c r="H86" s="4">
        <v>0.42899999999999999</v>
      </c>
      <c r="I86" s="5">
        <v>71914</v>
      </c>
      <c r="J86" s="5">
        <v>10273</v>
      </c>
      <c r="K86" s="4">
        <v>0.442</v>
      </c>
      <c r="L86" s="4">
        <v>0</v>
      </c>
      <c r="M86" s="5">
        <v>336246</v>
      </c>
      <c r="N86" s="5">
        <v>31761</v>
      </c>
      <c r="O86" s="5">
        <v>91231.3</v>
      </c>
      <c r="P86" s="5">
        <v>236795</v>
      </c>
      <c r="Q86" s="4">
        <v>9.4E-2</v>
      </c>
      <c r="R86" s="4">
        <v>0.34799999999999998</v>
      </c>
      <c r="S86" s="18">
        <v>3.6859999999999999</v>
      </c>
      <c r="T86" s="10">
        <v>479196</v>
      </c>
      <c r="U86" s="10">
        <v>94859</v>
      </c>
      <c r="V86" s="11">
        <v>0.19800000000000001</v>
      </c>
      <c r="W86" s="12">
        <f>IF(raceday_22_23[[#This Row],[Last Year Turnover]]=0, "No Corresponding PY Meeting", (raceday_22_23[[#This Row],[Betcha Inc. TO]]-raceday_22_23[[#This Row],[Last Year Turnover]])/raceday_22_23[[#This Row],[Last Year Turnover]])</f>
        <v>-0.2511170389569195</v>
      </c>
      <c r="X86" s="3">
        <f>MONTH(raceday_22_23[[#This Row],[Raceday Date]])</f>
        <v>11</v>
      </c>
      <c r="Y8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6" s="3" t="str">
        <f>raceday_22_23[[#This Row],[Raceday Date]]&amp;raceday_22_23[[#This Row],[Club]]</f>
        <v>45617Manawatu Harness Racing Club Inc</v>
      </c>
      <c r="AA86" s="5">
        <f>0.03*raceday_22_23[[#This Row],[Export TO (AUD)]]</f>
        <v>7103.8499999999995</v>
      </c>
      <c r="AB86" s="5">
        <f>_xlfn.XLOOKUP(raceday_22_23[[#This Row],[Helper]],'Betcha Integrated'!A:A,'Betcha Integrated'!F:F, 0)</f>
        <v>358861.7194</v>
      </c>
      <c r="AC86" s="5">
        <f>_xlfn.XLOOKUP(raceday_22_23[[#This Row],[Helper]],'Betcha Integrated'!A:A,'Betcha Integrated'!G:G, 0)</f>
        <v>32902.509250000003</v>
      </c>
      <c r="AD86" s="5">
        <f>raceday_22_23[[#This Row],[Export Earned]]+raceday_22_23[[#This Row],[Betcha Inc. GBR]]</f>
        <v>40006.359250000001</v>
      </c>
      <c r="AE86" s="88">
        <f>ROUND(raceday_22_23[[#This Row],[Fav. Win %]]*raceday_22_23[[#This Row],[Races]], 0)</f>
        <v>3</v>
      </c>
    </row>
    <row r="87" spans="1:31" x14ac:dyDescent="0.3">
      <c r="A87" s="8">
        <v>45618</v>
      </c>
      <c r="B87" s="3" t="s">
        <v>77</v>
      </c>
      <c r="C87" s="3" t="s">
        <v>85</v>
      </c>
      <c r="D87" s="3" t="s">
        <v>76</v>
      </c>
      <c r="E87" s="3">
        <v>9</v>
      </c>
      <c r="F87" s="3">
        <v>80</v>
      </c>
      <c r="G87" s="3">
        <v>8.9</v>
      </c>
      <c r="H87" s="4">
        <v>0.44400000000000001</v>
      </c>
      <c r="I87" s="5">
        <v>98139</v>
      </c>
      <c r="J87" s="5">
        <v>10904</v>
      </c>
      <c r="K87" s="4">
        <v>0.78500000000000003</v>
      </c>
      <c r="L87" s="4">
        <v>0.33300000000000002</v>
      </c>
      <c r="M87" s="5">
        <v>622715</v>
      </c>
      <c r="N87" s="5">
        <v>77049</v>
      </c>
      <c r="O87" s="5">
        <v>123070.36</v>
      </c>
      <c r="P87" s="5">
        <v>216503</v>
      </c>
      <c r="Q87" s="4">
        <v>0.124</v>
      </c>
      <c r="R87" s="4">
        <v>0.626</v>
      </c>
      <c r="S87" s="18">
        <v>5.0599999999999996</v>
      </c>
      <c r="T87" s="10">
        <v>387967</v>
      </c>
      <c r="U87" s="10">
        <v>103885</v>
      </c>
      <c r="V87" s="11">
        <v>0.26800000000000002</v>
      </c>
      <c r="W87" s="12">
        <f>IF(raceday_22_23[[#This Row],[Last Year Turnover]]=0, "No Corresponding PY Meeting", (raceday_22_23[[#This Row],[Betcha Inc. TO]]-raceday_22_23[[#This Row],[Last Year Turnover]])/raceday_22_23[[#This Row],[Last Year Turnover]])</f>
        <v>0.6757143762227199</v>
      </c>
      <c r="X87" s="3">
        <f>MONTH(raceday_22_23[[#This Row],[Raceday Date]])</f>
        <v>11</v>
      </c>
      <c r="Y8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7" s="3" t="str">
        <f>raceday_22_23[[#This Row],[Raceday Date]]&amp;raceday_22_23[[#This Row],[Club]]</f>
        <v>45618Invercargill Harness Racing Club Inc</v>
      </c>
      <c r="AA87" s="5">
        <f>0.03*raceday_22_23[[#This Row],[Export TO (AUD)]]</f>
        <v>6495.09</v>
      </c>
      <c r="AB87" s="5">
        <f>_xlfn.XLOOKUP(raceday_22_23[[#This Row],[Helper]],'Betcha Integrated'!A:A,'Betcha Integrated'!F:F, 0)</f>
        <v>650121.87939999998</v>
      </c>
      <c r="AC87" s="5">
        <f>_xlfn.XLOOKUP(raceday_22_23[[#This Row],[Helper]],'Betcha Integrated'!A:A,'Betcha Integrated'!G:G, 0)</f>
        <v>82131.831749999998</v>
      </c>
      <c r="AD87" s="5">
        <f>raceday_22_23[[#This Row],[Export Earned]]+raceday_22_23[[#This Row],[Betcha Inc. GBR]]</f>
        <v>88626.921749999994</v>
      </c>
      <c r="AE87" s="88">
        <f>ROUND(raceday_22_23[[#This Row],[Fav. Win %]]*raceday_22_23[[#This Row],[Races]], 0)</f>
        <v>4</v>
      </c>
    </row>
    <row r="88" spans="1:31" x14ac:dyDescent="0.3">
      <c r="A88" s="8">
        <v>45618</v>
      </c>
      <c r="B88" s="3" t="s">
        <v>77</v>
      </c>
      <c r="C88" s="3" t="s">
        <v>78</v>
      </c>
      <c r="D88" s="3" t="s">
        <v>79</v>
      </c>
      <c r="E88" s="3">
        <v>10</v>
      </c>
      <c r="F88" s="3">
        <v>96</v>
      </c>
      <c r="G88" s="3">
        <v>9.6</v>
      </c>
      <c r="H88" s="4">
        <v>0.1</v>
      </c>
      <c r="I88" s="5">
        <v>154885</v>
      </c>
      <c r="J88" s="5">
        <v>15488</v>
      </c>
      <c r="K88" s="4">
        <v>0.82299999999999995</v>
      </c>
      <c r="L88" s="4">
        <v>0.4</v>
      </c>
      <c r="M88" s="5">
        <v>821100</v>
      </c>
      <c r="N88" s="5">
        <v>127499</v>
      </c>
      <c r="O88" s="5">
        <v>181185.63</v>
      </c>
      <c r="P88" s="5">
        <v>219907</v>
      </c>
      <c r="Q88" s="4">
        <v>0.155</v>
      </c>
      <c r="R88" s="4">
        <v>0.70399999999999996</v>
      </c>
      <c r="S88" s="18">
        <v>4.532</v>
      </c>
      <c r="T88" s="10">
        <v>622152</v>
      </c>
      <c r="U88" s="10">
        <v>100961</v>
      </c>
      <c r="V88" s="11">
        <v>0.16200000000000001</v>
      </c>
      <c r="W88" s="12">
        <f>IF(raceday_22_23[[#This Row],[Last Year Turnover]]=0, "No Corresponding PY Meeting", (raceday_22_23[[#This Row],[Betcha Inc. TO]]-raceday_22_23[[#This Row],[Last Year Turnover]])/raceday_22_23[[#This Row],[Last Year Turnover]])</f>
        <v>0.39050786206586019</v>
      </c>
      <c r="X88" s="3">
        <f>MONTH(raceday_22_23[[#This Row],[Raceday Date]])</f>
        <v>11</v>
      </c>
      <c r="Y8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8" s="3" t="str">
        <f>raceday_22_23[[#This Row],[Raceday Date]]&amp;raceday_22_23[[#This Row],[Club]]</f>
        <v>45618Auckland Trotting Club Inc</v>
      </c>
      <c r="AA88" s="5">
        <f>0.03*raceday_22_23[[#This Row],[Export TO (AUD)]]</f>
        <v>6597.21</v>
      </c>
      <c r="AB88" s="5">
        <f>_xlfn.XLOOKUP(raceday_22_23[[#This Row],[Helper]],'Betcha Integrated'!A:A,'Betcha Integrated'!F:F, 0)</f>
        <v>865107.24739999906</v>
      </c>
      <c r="AC88" s="5">
        <f>_xlfn.XLOOKUP(raceday_22_23[[#This Row],[Helper]],'Betcha Integrated'!A:A,'Betcha Integrated'!G:G, 0)</f>
        <v>132033.20839999992</v>
      </c>
      <c r="AD88" s="5">
        <f>raceday_22_23[[#This Row],[Export Earned]]+raceday_22_23[[#This Row],[Betcha Inc. GBR]]</f>
        <v>138630.41839999991</v>
      </c>
      <c r="AE88" s="88">
        <f>ROUND(raceday_22_23[[#This Row],[Fav. Win %]]*raceday_22_23[[#This Row],[Races]], 0)</f>
        <v>1</v>
      </c>
    </row>
    <row r="89" spans="1:31" x14ac:dyDescent="0.3">
      <c r="A89" s="8">
        <v>45619</v>
      </c>
      <c r="B89" s="3" t="s">
        <v>93</v>
      </c>
      <c r="C89" s="3" t="s">
        <v>95</v>
      </c>
      <c r="D89" s="3" t="s">
        <v>81</v>
      </c>
      <c r="E89" s="3">
        <v>10</v>
      </c>
      <c r="F89" s="3">
        <v>93</v>
      </c>
      <c r="G89" s="3">
        <v>9.3000000000000007</v>
      </c>
      <c r="H89" s="4">
        <v>0.5</v>
      </c>
      <c r="I89" s="5">
        <v>140237</v>
      </c>
      <c r="J89" s="5">
        <v>14024</v>
      </c>
      <c r="K89" s="4">
        <v>0.17599999999999999</v>
      </c>
      <c r="L89" s="4">
        <v>0.1</v>
      </c>
      <c r="M89" s="5">
        <v>667598</v>
      </c>
      <c r="N89" s="5">
        <v>24613</v>
      </c>
      <c r="O89" s="5">
        <v>159512</v>
      </c>
      <c r="P89" s="5">
        <v>109396</v>
      </c>
      <c r="Q89" s="4">
        <v>3.6999999999999998E-2</v>
      </c>
      <c r="R89" s="4">
        <v>0.154</v>
      </c>
      <c r="S89" s="18">
        <v>4.1849999999999996</v>
      </c>
      <c r="T89" s="10">
        <v>982820</v>
      </c>
      <c r="U89" s="10">
        <v>185544</v>
      </c>
      <c r="V89" s="11">
        <v>0.189</v>
      </c>
      <c r="W89" s="12">
        <f>IF(raceday_22_23[[#This Row],[Last Year Turnover]]=0, "No Corresponding PY Meeting", (raceday_22_23[[#This Row],[Betcha Inc. TO]]-raceday_22_23[[#This Row],[Last Year Turnover]])/raceday_22_23[[#This Row],[Last Year Turnover]])</f>
        <v>-0.29822099072058056</v>
      </c>
      <c r="X89" s="3">
        <f>MONTH(raceday_22_23[[#This Row],[Raceday Date]])</f>
        <v>11</v>
      </c>
      <c r="Y8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89" s="3" t="str">
        <f>raceday_22_23[[#This Row],[Raceday Date]]&amp;raceday_22_23[[#This Row],[Club]]</f>
        <v>45619Timaru Harness Racing Club Inc</v>
      </c>
      <c r="AA89" s="5">
        <f>0.03*raceday_22_23[[#This Row],[Export TO (AUD)]]</f>
        <v>3281.8799999999997</v>
      </c>
      <c r="AB89" s="5">
        <f>_xlfn.XLOOKUP(raceday_22_23[[#This Row],[Helper]],'Betcha Integrated'!A:A,'Betcha Integrated'!F:F, 0)</f>
        <v>689722.445899999</v>
      </c>
      <c r="AC89" s="5">
        <f>_xlfn.XLOOKUP(raceday_22_23[[#This Row],[Helper]],'Betcha Integrated'!A:A,'Betcha Integrated'!G:G, 0)</f>
        <v>22533.961249999906</v>
      </c>
      <c r="AD89" s="5">
        <f>raceday_22_23[[#This Row],[Export Earned]]+raceday_22_23[[#This Row],[Betcha Inc. GBR]]</f>
        <v>25815.841249999907</v>
      </c>
      <c r="AE89" s="88">
        <f>ROUND(raceday_22_23[[#This Row],[Fav. Win %]]*raceday_22_23[[#This Row],[Races]], 0)</f>
        <v>5</v>
      </c>
    </row>
    <row r="90" spans="1:31" x14ac:dyDescent="0.3">
      <c r="A90" s="8">
        <v>45620</v>
      </c>
      <c r="B90" s="3" t="s">
        <v>82</v>
      </c>
      <c r="C90" s="3" t="s">
        <v>94</v>
      </c>
      <c r="D90" s="3" t="s">
        <v>81</v>
      </c>
      <c r="E90" s="3">
        <v>11</v>
      </c>
      <c r="F90" s="3">
        <v>143</v>
      </c>
      <c r="G90" s="3">
        <v>13</v>
      </c>
      <c r="H90" s="4">
        <v>0.36399999999999999</v>
      </c>
      <c r="I90" s="5">
        <v>128195</v>
      </c>
      <c r="J90" s="5">
        <v>11654</v>
      </c>
      <c r="K90" s="4">
        <v>0.68200000000000005</v>
      </c>
      <c r="L90" s="4">
        <v>0</v>
      </c>
      <c r="M90" s="5">
        <v>1049726</v>
      </c>
      <c r="N90" s="5">
        <v>87489</v>
      </c>
      <c r="O90" s="5">
        <v>172872.83</v>
      </c>
      <c r="P90" s="5">
        <v>141891</v>
      </c>
      <c r="Q90" s="4">
        <v>8.3000000000000004E-2</v>
      </c>
      <c r="R90" s="4">
        <v>0.50600000000000001</v>
      </c>
      <c r="S90" s="18">
        <v>6.0720000000000001</v>
      </c>
      <c r="T90" s="10">
        <v>1201922</v>
      </c>
      <c r="U90" s="10">
        <v>260807</v>
      </c>
      <c r="V90" s="11">
        <v>0.217</v>
      </c>
      <c r="W90" s="12">
        <f>IF(raceday_22_23[[#This Row],[Last Year Turnover]]=0, "No Corresponding PY Meeting", (raceday_22_23[[#This Row],[Betcha Inc. TO]]-raceday_22_23[[#This Row],[Last Year Turnover]])/raceday_22_23[[#This Row],[Last Year Turnover]])</f>
        <v>-9.1234862245636497E-2</v>
      </c>
      <c r="X90" s="3">
        <f>MONTH(raceday_22_23[[#This Row],[Raceday Date]])</f>
        <v>11</v>
      </c>
      <c r="Y9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0" s="3" t="str">
        <f>raceday_22_23[[#This Row],[Raceday Date]]&amp;raceday_22_23[[#This Row],[Club]]</f>
        <v>45620Banks Peninsula Trotting Club Inc</v>
      </c>
      <c r="AA90" s="5">
        <f>0.03*raceday_22_23[[#This Row],[Export TO (AUD)]]</f>
        <v>4256.7299999999996</v>
      </c>
      <c r="AB90" s="5">
        <f>_xlfn.XLOOKUP(raceday_22_23[[#This Row],[Helper]],'Betcha Integrated'!A:A,'Betcha Integrated'!F:F, 0)</f>
        <v>1092264.8119000001</v>
      </c>
      <c r="AC90" s="5">
        <f>_xlfn.XLOOKUP(raceday_22_23[[#This Row],[Helper]],'Betcha Integrated'!A:A,'Betcha Integrated'!G:G, 0)</f>
        <v>88821.422599999991</v>
      </c>
      <c r="AD90" s="5">
        <f>raceday_22_23[[#This Row],[Export Earned]]+raceday_22_23[[#This Row],[Betcha Inc. GBR]]</f>
        <v>93078.152599999987</v>
      </c>
      <c r="AE90" s="88">
        <f>ROUND(raceday_22_23[[#This Row],[Fav. Win %]]*raceday_22_23[[#This Row],[Races]], 0)</f>
        <v>4</v>
      </c>
    </row>
    <row r="91" spans="1:31" x14ac:dyDescent="0.3">
      <c r="A91" s="8">
        <v>45623</v>
      </c>
      <c r="B91" s="3" t="s">
        <v>96</v>
      </c>
      <c r="C91" s="3" t="s">
        <v>85</v>
      </c>
      <c r="D91" s="3" t="s">
        <v>76</v>
      </c>
      <c r="E91" s="3">
        <v>9</v>
      </c>
      <c r="F91" s="3">
        <v>89</v>
      </c>
      <c r="G91" s="3">
        <v>9.9</v>
      </c>
      <c r="H91" s="4">
        <v>0.222</v>
      </c>
      <c r="I91" s="5">
        <v>92553</v>
      </c>
      <c r="J91" s="5">
        <v>10284</v>
      </c>
      <c r="K91" s="4">
        <v>1.633</v>
      </c>
      <c r="L91" s="4">
        <v>0.222</v>
      </c>
      <c r="M91" s="5">
        <v>532468</v>
      </c>
      <c r="N91" s="5">
        <v>151146</v>
      </c>
      <c r="O91" s="5">
        <v>117695.36</v>
      </c>
      <c r="P91" s="5">
        <v>240515</v>
      </c>
      <c r="Q91" s="4">
        <v>0.28399999999999997</v>
      </c>
      <c r="R91" s="4">
        <v>1.284</v>
      </c>
      <c r="S91" s="18">
        <v>4.524</v>
      </c>
      <c r="T91" s="10">
        <v>472589</v>
      </c>
      <c r="U91" s="10">
        <v>75121</v>
      </c>
      <c r="V91" s="11">
        <v>0.159</v>
      </c>
      <c r="W91" s="12">
        <f>IF(raceday_22_23[[#This Row],[Last Year Turnover]]=0, "No Corresponding PY Meeting", (raceday_22_23[[#This Row],[Betcha Inc. TO]]-raceday_22_23[[#This Row],[Last Year Turnover]])/raceday_22_23[[#This Row],[Last Year Turnover]])</f>
        <v>0.17127092716927184</v>
      </c>
      <c r="X91" s="3">
        <f>MONTH(raceday_22_23[[#This Row],[Raceday Date]])</f>
        <v>11</v>
      </c>
      <c r="Y9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1" s="3" t="str">
        <f>raceday_22_23[[#This Row],[Raceday Date]]&amp;raceday_22_23[[#This Row],[Club]]</f>
        <v>45623Invercargill Harness Racing Club Inc</v>
      </c>
      <c r="AA91" s="5">
        <f>0.03*raceday_22_23[[#This Row],[Export TO (AUD)]]</f>
        <v>7215.45</v>
      </c>
      <c r="AB91" s="5">
        <f>_xlfn.XLOOKUP(raceday_22_23[[#This Row],[Helper]],'Betcha Integrated'!A:A,'Betcha Integrated'!F:F, 0)</f>
        <v>553529.75619999901</v>
      </c>
      <c r="AC91" s="5">
        <f>_xlfn.XLOOKUP(raceday_22_23[[#This Row],[Helper]],'Betcha Integrated'!A:A,'Betcha Integrated'!G:G, 0)</f>
        <v>158865.15999999989</v>
      </c>
      <c r="AD91" s="5">
        <f>raceday_22_23[[#This Row],[Export Earned]]+raceday_22_23[[#This Row],[Betcha Inc. GBR]]</f>
        <v>166080.6099999999</v>
      </c>
      <c r="AE91" s="88">
        <f>ROUND(raceday_22_23[[#This Row],[Fav. Win %]]*raceday_22_23[[#This Row],[Races]], 0)</f>
        <v>2</v>
      </c>
    </row>
    <row r="92" spans="1:31" x14ac:dyDescent="0.3">
      <c r="A92" s="8">
        <v>45625</v>
      </c>
      <c r="B92" s="3" t="s">
        <v>77</v>
      </c>
      <c r="C92" s="3" t="s">
        <v>80</v>
      </c>
      <c r="D92" s="3" t="s">
        <v>81</v>
      </c>
      <c r="E92" s="3">
        <v>10</v>
      </c>
      <c r="F92" s="3">
        <v>109</v>
      </c>
      <c r="G92" s="3">
        <v>10.9</v>
      </c>
      <c r="H92" s="4">
        <v>0.6</v>
      </c>
      <c r="I92" s="5">
        <v>908626</v>
      </c>
      <c r="J92" s="5">
        <v>90863</v>
      </c>
      <c r="K92" s="4">
        <v>0.187</v>
      </c>
      <c r="L92" s="4">
        <v>0.1</v>
      </c>
      <c r="M92" s="5">
        <v>1213411</v>
      </c>
      <c r="N92" s="5">
        <v>169559</v>
      </c>
      <c r="O92" s="5">
        <v>946426.92</v>
      </c>
      <c r="P92" s="5">
        <v>382638</v>
      </c>
      <c r="Q92" s="4">
        <v>0.14000000000000001</v>
      </c>
      <c r="R92" s="4">
        <v>0.17899999999999999</v>
      </c>
      <c r="S92" s="18">
        <v>1.282</v>
      </c>
      <c r="T92" s="10">
        <v>1165493</v>
      </c>
      <c r="U92" s="10">
        <v>242525</v>
      </c>
      <c r="V92" s="11">
        <v>0.20799999999999999</v>
      </c>
      <c r="W92" s="12">
        <f>IF(raceday_22_23[[#This Row],[Last Year Turnover]]=0, "No Corresponding PY Meeting", (raceday_22_23[[#This Row],[Betcha Inc. TO]]-raceday_22_23[[#This Row],[Last Year Turnover]])/raceday_22_23[[#This Row],[Last Year Turnover]])</f>
        <v>6.4013483478664396E-2</v>
      </c>
      <c r="X92" s="3">
        <f>MONTH(raceday_22_23[[#This Row],[Raceday Date]])</f>
        <v>11</v>
      </c>
      <c r="Y9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2" s="3" t="str">
        <f>raceday_22_23[[#This Row],[Raceday Date]]&amp;raceday_22_23[[#This Row],[Club]]</f>
        <v>45625NZ Metropolitan Trotting Club Inc</v>
      </c>
      <c r="AA92" s="5">
        <f>0.03*raceday_22_23[[#This Row],[Export TO (AUD)]]</f>
        <v>11479.14</v>
      </c>
      <c r="AB92" s="5">
        <f>_xlfn.XLOOKUP(raceday_22_23[[#This Row],[Helper]],'Betcha Integrated'!A:A,'Betcha Integrated'!F:F, 0)</f>
        <v>1240100.266899999</v>
      </c>
      <c r="AC92" s="5">
        <f>_xlfn.XLOOKUP(raceday_22_23[[#This Row],[Helper]],'Betcha Integrated'!A:A,'Betcha Integrated'!G:G, 0)</f>
        <v>157756.83144999988</v>
      </c>
      <c r="AD92" s="5">
        <f>raceday_22_23[[#This Row],[Export Earned]]+raceday_22_23[[#This Row],[Betcha Inc. GBR]]</f>
        <v>169235.9714499999</v>
      </c>
      <c r="AE92" s="88">
        <f>ROUND(raceday_22_23[[#This Row],[Fav. Win %]]*raceday_22_23[[#This Row],[Races]], 0)</f>
        <v>6</v>
      </c>
    </row>
    <row r="93" spans="1:31" x14ac:dyDescent="0.3">
      <c r="A93" s="8">
        <v>45625</v>
      </c>
      <c r="B93" s="3" t="s">
        <v>77</v>
      </c>
      <c r="C93" s="3" t="s">
        <v>78</v>
      </c>
      <c r="D93" s="3" t="s">
        <v>79</v>
      </c>
      <c r="E93" s="3">
        <v>9</v>
      </c>
      <c r="F93" s="3">
        <v>83</v>
      </c>
      <c r="G93" s="3">
        <v>9.1999999999999993</v>
      </c>
      <c r="H93" s="4">
        <v>0.111</v>
      </c>
      <c r="I93" s="5">
        <v>184282</v>
      </c>
      <c r="J93" s="5">
        <v>20476</v>
      </c>
      <c r="K93" s="4">
        <v>-0.214</v>
      </c>
      <c r="L93" s="4">
        <v>0</v>
      </c>
      <c r="M93" s="5">
        <v>520985</v>
      </c>
      <c r="N93" s="5">
        <v>-39495</v>
      </c>
      <c r="O93" s="5">
        <v>210583.13</v>
      </c>
      <c r="P93" s="5">
        <v>179171</v>
      </c>
      <c r="Q93" s="4">
        <v>-7.5999999999999998E-2</v>
      </c>
      <c r="R93" s="4">
        <v>-0.188</v>
      </c>
      <c r="S93" s="18">
        <v>2.4740000000000002</v>
      </c>
      <c r="T93" s="10">
        <v>583465</v>
      </c>
      <c r="U93" s="10">
        <v>125656</v>
      </c>
      <c r="V93" s="11">
        <v>0.215</v>
      </c>
      <c r="W93" s="12">
        <f>IF(raceday_22_23[[#This Row],[Last Year Turnover]]=0, "No Corresponding PY Meeting", (raceday_22_23[[#This Row],[Betcha Inc. TO]]-raceday_22_23[[#This Row],[Last Year Turnover]])/raceday_22_23[[#This Row],[Last Year Turnover]])</f>
        <v>-4.0036630474837437E-2</v>
      </c>
      <c r="X93" s="3">
        <f>MONTH(raceday_22_23[[#This Row],[Raceday Date]])</f>
        <v>11</v>
      </c>
      <c r="Y9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3" s="3" t="str">
        <f>raceday_22_23[[#This Row],[Raceday Date]]&amp;raceday_22_23[[#This Row],[Club]]</f>
        <v>45625Auckland Trotting Club Inc</v>
      </c>
      <c r="AA93" s="5">
        <f>0.03*raceday_22_23[[#This Row],[Export TO (AUD)]]</f>
        <v>5375.13</v>
      </c>
      <c r="AB93" s="5">
        <f>_xlfn.XLOOKUP(raceday_22_23[[#This Row],[Helper]],'Betcha Integrated'!A:A,'Betcha Integrated'!F:F, 0)</f>
        <v>560105.02739999897</v>
      </c>
      <c r="AC93" s="5">
        <f>_xlfn.XLOOKUP(raceday_22_23[[#This Row],[Helper]],'Betcha Integrated'!A:A,'Betcha Integrated'!G:G, 0)</f>
        <v>-42001.875450000109</v>
      </c>
      <c r="AD93" s="5">
        <f>raceday_22_23[[#This Row],[Export Earned]]+raceday_22_23[[#This Row],[Betcha Inc. GBR]]</f>
        <v>-36626.745450000111</v>
      </c>
      <c r="AE93" s="88">
        <f>ROUND(raceday_22_23[[#This Row],[Fav. Win %]]*raceday_22_23[[#This Row],[Races]], 0)</f>
        <v>1</v>
      </c>
    </row>
    <row r="94" spans="1:31" x14ac:dyDescent="0.3">
      <c r="A94" s="8">
        <v>45626</v>
      </c>
      <c r="B94" s="3" t="s">
        <v>93</v>
      </c>
      <c r="C94" s="3" t="s">
        <v>102</v>
      </c>
      <c r="D94" s="3" t="s">
        <v>81</v>
      </c>
      <c r="E94" s="3">
        <v>11</v>
      </c>
      <c r="F94" s="3">
        <v>148</v>
      </c>
      <c r="G94" s="3">
        <v>13.5</v>
      </c>
      <c r="H94" s="4">
        <v>9.0999999999999998E-2</v>
      </c>
      <c r="I94" s="5">
        <v>138489</v>
      </c>
      <c r="J94" s="5">
        <v>12590</v>
      </c>
      <c r="K94" s="4">
        <v>0.90500000000000003</v>
      </c>
      <c r="L94" s="4">
        <v>0.182</v>
      </c>
      <c r="M94" s="5">
        <v>803067</v>
      </c>
      <c r="N94" s="5">
        <v>125298</v>
      </c>
      <c r="O94" s="5">
        <v>168986.23999999999</v>
      </c>
      <c r="P94" s="5">
        <v>316108</v>
      </c>
      <c r="Q94" s="4">
        <v>0.156</v>
      </c>
      <c r="R94" s="4">
        <v>0.74099999999999999</v>
      </c>
      <c r="S94" s="18">
        <v>4.7519999999999998</v>
      </c>
      <c r="T94" s="10">
        <v>782628</v>
      </c>
      <c r="U94" s="10">
        <v>78918</v>
      </c>
      <c r="V94" s="11">
        <v>0.10100000000000001</v>
      </c>
      <c r="W94" s="12">
        <f>IF(raceday_22_23[[#This Row],[Last Year Turnover]]=0, "No Corresponding PY Meeting", (raceday_22_23[[#This Row],[Betcha Inc. TO]]-raceday_22_23[[#This Row],[Last Year Turnover]])/raceday_22_23[[#This Row],[Last Year Turnover]])</f>
        <v>7.3291596262846495E-2</v>
      </c>
      <c r="X94" s="3">
        <f>MONTH(raceday_22_23[[#This Row],[Raceday Date]])</f>
        <v>11</v>
      </c>
      <c r="Y9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4" s="3" t="str">
        <f>raceday_22_23[[#This Row],[Raceday Date]]&amp;raceday_22_23[[#This Row],[Club]]</f>
        <v>45626Akaroa Trotting Club Inc</v>
      </c>
      <c r="AA94" s="5">
        <f>0.03*raceday_22_23[[#This Row],[Export TO (AUD)]]</f>
        <v>9483.24</v>
      </c>
      <c r="AB94" s="5">
        <f>_xlfn.XLOOKUP(raceday_22_23[[#This Row],[Helper]],'Betcha Integrated'!A:A,'Betcha Integrated'!F:F, 0)</f>
        <v>839988.05539999902</v>
      </c>
      <c r="AC94" s="5">
        <f>_xlfn.XLOOKUP(raceday_22_23[[#This Row],[Helper]],'Betcha Integrated'!A:A,'Betcha Integrated'!G:G, 0)</f>
        <v>125447.8458499999</v>
      </c>
      <c r="AD94" s="5">
        <f>raceday_22_23[[#This Row],[Export Earned]]+raceday_22_23[[#This Row],[Betcha Inc. GBR]]</f>
        <v>134931.08584999989</v>
      </c>
      <c r="AE94" s="88">
        <f>ROUND(raceday_22_23[[#This Row],[Fav. Win %]]*raceday_22_23[[#This Row],[Races]], 0)</f>
        <v>1</v>
      </c>
    </row>
    <row r="95" spans="1:31" x14ac:dyDescent="0.3">
      <c r="A95" s="8">
        <v>45627</v>
      </c>
      <c r="B95" s="3" t="s">
        <v>82</v>
      </c>
      <c r="C95" s="3" t="s">
        <v>91</v>
      </c>
      <c r="D95" s="3" t="s">
        <v>81</v>
      </c>
      <c r="E95" s="3">
        <v>10</v>
      </c>
      <c r="F95" s="3">
        <v>116</v>
      </c>
      <c r="G95" s="3">
        <v>11.6</v>
      </c>
      <c r="H95" s="4">
        <v>0.3</v>
      </c>
      <c r="I95" s="5">
        <v>150138</v>
      </c>
      <c r="J95" s="5">
        <v>15014</v>
      </c>
      <c r="K95" s="4">
        <v>1.623</v>
      </c>
      <c r="L95" s="4">
        <v>0.2</v>
      </c>
      <c r="M95" s="5">
        <v>1096747</v>
      </c>
      <c r="N95" s="5">
        <v>243743</v>
      </c>
      <c r="O95" s="5">
        <v>177894.39999999999</v>
      </c>
      <c r="P95" s="5">
        <v>320517</v>
      </c>
      <c r="Q95" s="4">
        <v>0.222</v>
      </c>
      <c r="R95" s="4">
        <v>1.37</v>
      </c>
      <c r="S95" s="18">
        <v>6.165</v>
      </c>
      <c r="T95" s="10">
        <v>1227603</v>
      </c>
      <c r="U95" s="10">
        <v>278020</v>
      </c>
      <c r="V95" s="11">
        <v>0.22600000000000001</v>
      </c>
      <c r="W95" s="12">
        <f>IF(raceday_22_23[[#This Row],[Last Year Turnover]]=0, "No Corresponding PY Meeting", (raceday_22_23[[#This Row],[Betcha Inc. TO]]-raceday_22_23[[#This Row],[Last Year Turnover]])/raceday_22_23[[#This Row],[Last Year Turnover]])</f>
        <v>-6.3209374040305411E-2</v>
      </c>
      <c r="X95" s="3">
        <f>MONTH(raceday_22_23[[#This Row],[Raceday Date]])</f>
        <v>12</v>
      </c>
      <c r="Y9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5" s="3" t="str">
        <f>raceday_22_23[[#This Row],[Raceday Date]]&amp;raceday_22_23[[#This Row],[Club]]</f>
        <v>45627Methven Trotting Club Inc</v>
      </c>
      <c r="AA95" s="5">
        <f>0.03*raceday_22_23[[#This Row],[Export TO (AUD)]]</f>
        <v>9615.51</v>
      </c>
      <c r="AB95" s="5">
        <f>_xlfn.XLOOKUP(raceday_22_23[[#This Row],[Helper]],'Betcha Integrated'!A:A,'Betcha Integrated'!F:F, 0)</f>
        <v>1150006.982799999</v>
      </c>
      <c r="AC95" s="5">
        <f>_xlfn.XLOOKUP(raceday_22_23[[#This Row],[Helper]],'Betcha Integrated'!A:A,'Betcha Integrated'!G:G, 0)</f>
        <v>262267.52554999897</v>
      </c>
      <c r="AD95" s="5">
        <f>raceday_22_23[[#This Row],[Export Earned]]+raceday_22_23[[#This Row],[Betcha Inc. GBR]]</f>
        <v>271883.03554999898</v>
      </c>
      <c r="AE95" s="88">
        <f>ROUND(raceday_22_23[[#This Row],[Fav. Win %]]*raceday_22_23[[#This Row],[Races]], 0)</f>
        <v>3</v>
      </c>
    </row>
    <row r="96" spans="1:31" x14ac:dyDescent="0.3">
      <c r="A96" s="8">
        <v>45630</v>
      </c>
      <c r="B96" s="3" t="s">
        <v>96</v>
      </c>
      <c r="C96" s="3" t="s">
        <v>80</v>
      </c>
      <c r="D96" s="3" t="s">
        <v>81</v>
      </c>
      <c r="E96" s="3">
        <v>8</v>
      </c>
      <c r="F96" s="3">
        <v>85</v>
      </c>
      <c r="G96" s="3">
        <v>10.6</v>
      </c>
      <c r="H96" s="4">
        <v>0.25</v>
      </c>
      <c r="I96" s="5">
        <v>64460</v>
      </c>
      <c r="J96" s="5">
        <v>8058</v>
      </c>
      <c r="K96" s="4">
        <v>1.776</v>
      </c>
      <c r="L96" s="4">
        <v>0</v>
      </c>
      <c r="M96" s="5">
        <v>486936</v>
      </c>
      <c r="N96" s="5">
        <v>114478</v>
      </c>
      <c r="O96" s="5">
        <v>102156.92</v>
      </c>
      <c r="P96" s="5">
        <v>188025</v>
      </c>
      <c r="Q96" s="4">
        <v>0.23499999999999999</v>
      </c>
      <c r="R96" s="4">
        <v>1.121</v>
      </c>
      <c r="S96" s="18">
        <v>4.7670000000000003</v>
      </c>
      <c r="T96" s="10">
        <v>0</v>
      </c>
      <c r="U96" s="10">
        <v>0</v>
      </c>
      <c r="V96" s="11">
        <v>0</v>
      </c>
      <c r="W9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96" s="3">
        <f>MONTH(raceday_22_23[[#This Row],[Raceday Date]])</f>
        <v>12</v>
      </c>
      <c r="Y9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6" s="3" t="str">
        <f>raceday_22_23[[#This Row],[Raceday Date]]&amp;raceday_22_23[[#This Row],[Club]]</f>
        <v>45630NZ Metropolitan Trotting Club Inc</v>
      </c>
      <c r="AA96" s="5">
        <f>0.03*raceday_22_23[[#This Row],[Export TO (AUD)]]</f>
        <v>5640.75</v>
      </c>
      <c r="AB96" s="5">
        <f>_xlfn.XLOOKUP(raceday_22_23[[#This Row],[Helper]],'Betcha Integrated'!A:A,'Betcha Integrated'!F:F, 0)</f>
        <v>503748.88279999897</v>
      </c>
      <c r="AC96" s="5">
        <f>_xlfn.XLOOKUP(raceday_22_23[[#This Row],[Helper]],'Betcha Integrated'!A:A,'Betcha Integrated'!G:G, 0)</f>
        <v>118532.47369999989</v>
      </c>
      <c r="AD96" s="5">
        <f>raceday_22_23[[#This Row],[Export Earned]]+raceday_22_23[[#This Row],[Betcha Inc. GBR]]</f>
        <v>124173.22369999989</v>
      </c>
      <c r="AE96" s="88">
        <f>ROUND(raceday_22_23[[#This Row],[Fav. Win %]]*raceday_22_23[[#This Row],[Races]], 0)</f>
        <v>2</v>
      </c>
    </row>
    <row r="97" spans="1:31" x14ac:dyDescent="0.3">
      <c r="A97" s="8">
        <v>45632</v>
      </c>
      <c r="B97" s="3" t="s">
        <v>77</v>
      </c>
      <c r="C97" s="3" t="s">
        <v>80</v>
      </c>
      <c r="D97" s="3" t="s">
        <v>81</v>
      </c>
      <c r="E97" s="3">
        <v>11</v>
      </c>
      <c r="F97" s="3">
        <v>112</v>
      </c>
      <c r="G97" s="3">
        <v>10.199999999999999</v>
      </c>
      <c r="H97" s="4">
        <v>0.36399999999999999</v>
      </c>
      <c r="I97" s="5">
        <v>889600</v>
      </c>
      <c r="J97" s="5">
        <v>80873</v>
      </c>
      <c r="K97" s="4">
        <v>0.33200000000000002</v>
      </c>
      <c r="L97" s="4">
        <v>9.0999999999999998E-2</v>
      </c>
      <c r="M97" s="5">
        <v>1319892</v>
      </c>
      <c r="N97" s="5">
        <v>295297</v>
      </c>
      <c r="O97" s="5">
        <v>927296.92</v>
      </c>
      <c r="P97" s="5">
        <v>392532</v>
      </c>
      <c r="Q97" s="4">
        <v>0.224</v>
      </c>
      <c r="R97" s="4">
        <v>0.318</v>
      </c>
      <c r="S97" s="18">
        <v>1.423</v>
      </c>
      <c r="T97" s="10">
        <v>1836417</v>
      </c>
      <c r="U97" s="10">
        <v>211803</v>
      </c>
      <c r="V97" s="11">
        <v>0.115</v>
      </c>
      <c r="W97" s="12">
        <f>IF(raceday_22_23[[#This Row],[Last Year Turnover]]=0, "No Corresponding PY Meeting", (raceday_22_23[[#This Row],[Betcha Inc. TO]]-raceday_22_23[[#This Row],[Last Year Turnover]])/raceday_22_23[[#This Row],[Last Year Turnover]])</f>
        <v>-0.25281627010640823</v>
      </c>
      <c r="X97" s="3">
        <f>MONTH(raceday_22_23[[#This Row],[Raceday Date]])</f>
        <v>12</v>
      </c>
      <c r="Y9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7" s="3" t="str">
        <f>raceday_22_23[[#This Row],[Raceday Date]]&amp;raceday_22_23[[#This Row],[Club]]</f>
        <v>45632NZ Metropolitan Trotting Club Inc</v>
      </c>
      <c r="AA97" s="5">
        <f>0.03*raceday_22_23[[#This Row],[Export TO (AUD)]]</f>
        <v>11775.96</v>
      </c>
      <c r="AB97" s="5">
        <f>_xlfn.XLOOKUP(raceday_22_23[[#This Row],[Helper]],'Betcha Integrated'!A:A,'Betcha Integrated'!F:F, 0)</f>
        <v>1372140.9037000001</v>
      </c>
      <c r="AC97" s="5">
        <f>_xlfn.XLOOKUP(raceday_22_23[[#This Row],[Helper]],'Betcha Integrated'!A:A,'Betcha Integrated'!G:G, 0)</f>
        <v>304223.11239999998</v>
      </c>
      <c r="AD97" s="5">
        <f>raceday_22_23[[#This Row],[Export Earned]]+raceday_22_23[[#This Row],[Betcha Inc. GBR]]</f>
        <v>315999.0724</v>
      </c>
      <c r="AE97" s="88">
        <f>ROUND(raceday_22_23[[#This Row],[Fav. Win %]]*raceday_22_23[[#This Row],[Races]], 0)</f>
        <v>4</v>
      </c>
    </row>
    <row r="98" spans="1:31" x14ac:dyDescent="0.3">
      <c r="A98" s="8">
        <v>45632</v>
      </c>
      <c r="B98" s="3" t="s">
        <v>77</v>
      </c>
      <c r="C98" s="3" t="s">
        <v>78</v>
      </c>
      <c r="D98" s="3" t="s">
        <v>79</v>
      </c>
      <c r="E98" s="3">
        <v>12</v>
      </c>
      <c r="F98" s="3">
        <v>109</v>
      </c>
      <c r="G98" s="3">
        <v>9.1</v>
      </c>
      <c r="H98" s="4">
        <v>0.41699999999999998</v>
      </c>
      <c r="I98" s="5">
        <v>251825</v>
      </c>
      <c r="J98" s="5">
        <v>20985</v>
      </c>
      <c r="K98" s="4">
        <v>0.68700000000000006</v>
      </c>
      <c r="L98" s="4">
        <v>8.3000000000000004E-2</v>
      </c>
      <c r="M98" s="5">
        <v>706824</v>
      </c>
      <c r="N98" s="5">
        <v>172964</v>
      </c>
      <c r="O98" s="5">
        <v>278230.63</v>
      </c>
      <c r="P98" s="5">
        <v>218290</v>
      </c>
      <c r="Q98" s="4">
        <v>0.245</v>
      </c>
      <c r="R98" s="4">
        <v>0.622</v>
      </c>
      <c r="S98" s="18">
        <v>2.54</v>
      </c>
      <c r="T98" s="10">
        <v>629369</v>
      </c>
      <c r="U98" s="10">
        <v>15016</v>
      </c>
      <c r="V98" s="11">
        <v>2.4E-2</v>
      </c>
      <c r="W98" s="12">
        <f>IF(raceday_22_23[[#This Row],[Last Year Turnover]]=0, "No Corresponding PY Meeting", (raceday_22_23[[#This Row],[Betcha Inc. TO]]-raceday_22_23[[#This Row],[Last Year Turnover]])/raceday_22_23[[#This Row],[Last Year Turnover]])</f>
        <v>0.18224986200464269</v>
      </c>
      <c r="X98" s="3">
        <f>MONTH(raceday_22_23[[#This Row],[Raceday Date]])</f>
        <v>12</v>
      </c>
      <c r="Y9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8" s="3" t="str">
        <f>raceday_22_23[[#This Row],[Raceday Date]]&amp;raceday_22_23[[#This Row],[Club]]</f>
        <v>45632Auckland Trotting Club Inc</v>
      </c>
      <c r="AA98" s="5">
        <f>0.03*raceday_22_23[[#This Row],[Export TO (AUD)]]</f>
        <v>6548.7</v>
      </c>
      <c r="AB98" s="5">
        <f>_xlfn.XLOOKUP(raceday_22_23[[#This Row],[Helper]],'Betcha Integrated'!A:A,'Betcha Integrated'!F:F, 0)</f>
        <v>744071.41339999996</v>
      </c>
      <c r="AC98" s="5">
        <f>_xlfn.XLOOKUP(raceday_22_23[[#This Row],[Helper]],'Betcha Integrated'!A:A,'Betcha Integrated'!G:G, 0)</f>
        <v>178752.65465000001</v>
      </c>
      <c r="AD98" s="5">
        <f>raceday_22_23[[#This Row],[Export Earned]]+raceday_22_23[[#This Row],[Betcha Inc. GBR]]</f>
        <v>185301.35465000002</v>
      </c>
      <c r="AE98" s="88">
        <f>ROUND(raceday_22_23[[#This Row],[Fav. Win %]]*raceday_22_23[[#This Row],[Races]], 0)</f>
        <v>5</v>
      </c>
    </row>
    <row r="99" spans="1:31" x14ac:dyDescent="0.3">
      <c r="A99" s="8">
        <v>45633</v>
      </c>
      <c r="B99" s="3" t="s">
        <v>93</v>
      </c>
      <c r="C99" s="3" t="s">
        <v>103</v>
      </c>
      <c r="D99" s="3" t="s">
        <v>81</v>
      </c>
      <c r="E99" s="3">
        <v>12</v>
      </c>
      <c r="F99" s="3">
        <v>141</v>
      </c>
      <c r="G99" s="3">
        <v>11.8</v>
      </c>
      <c r="H99" s="4">
        <v>0</v>
      </c>
      <c r="I99" s="5">
        <v>168688</v>
      </c>
      <c r="J99" s="5">
        <v>14057</v>
      </c>
      <c r="K99" s="4">
        <v>1.097</v>
      </c>
      <c r="L99" s="4">
        <v>0.33300000000000002</v>
      </c>
      <c r="M99" s="5">
        <v>907151</v>
      </c>
      <c r="N99" s="5">
        <v>206905</v>
      </c>
      <c r="O99" s="5">
        <v>206424.74</v>
      </c>
      <c r="P99" s="5">
        <v>254206</v>
      </c>
      <c r="Q99" s="4">
        <v>0.22800000000000001</v>
      </c>
      <c r="R99" s="4">
        <v>1.002</v>
      </c>
      <c r="S99" s="18">
        <v>4.3949999999999996</v>
      </c>
      <c r="T99" s="10">
        <v>1140492</v>
      </c>
      <c r="U99" s="10">
        <v>180230</v>
      </c>
      <c r="V99" s="11">
        <v>0.158</v>
      </c>
      <c r="W99" s="12">
        <f>IF(raceday_22_23[[#This Row],[Last Year Turnover]]=0, "No Corresponding PY Meeting", (raceday_22_23[[#This Row],[Betcha Inc. TO]]-raceday_22_23[[#This Row],[Last Year Turnover]])/raceday_22_23[[#This Row],[Last Year Turnover]])</f>
        <v>-0.16964271419703164</v>
      </c>
      <c r="X99" s="3">
        <f>MONTH(raceday_22_23[[#This Row],[Raceday Date]])</f>
        <v>12</v>
      </c>
      <c r="Y9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99" s="3" t="str">
        <f>raceday_22_23[[#This Row],[Raceday Date]]&amp;raceday_22_23[[#This Row],[Club]]</f>
        <v>45633Geraldine Trotting Club Inc</v>
      </c>
      <c r="AA99" s="5">
        <f>0.03*raceday_22_23[[#This Row],[Export TO (AUD)]]</f>
        <v>7626.1799999999994</v>
      </c>
      <c r="AB99" s="5">
        <f>_xlfn.XLOOKUP(raceday_22_23[[#This Row],[Helper]],'Betcha Integrated'!A:A,'Betcha Integrated'!F:F, 0)</f>
        <v>947015.841599999</v>
      </c>
      <c r="AC99" s="5">
        <f>_xlfn.XLOOKUP(raceday_22_23[[#This Row],[Helper]],'Betcha Integrated'!A:A,'Betcha Integrated'!G:G, 0)</f>
        <v>231313.3484499999</v>
      </c>
      <c r="AD99" s="5">
        <f>raceday_22_23[[#This Row],[Export Earned]]+raceday_22_23[[#This Row],[Betcha Inc. GBR]]</f>
        <v>238939.5284499999</v>
      </c>
      <c r="AE99" s="88">
        <f>ROUND(raceday_22_23[[#This Row],[Fav. Win %]]*raceday_22_23[[#This Row],[Races]], 0)</f>
        <v>0</v>
      </c>
    </row>
    <row r="100" spans="1:31" x14ac:dyDescent="0.3">
      <c r="A100" s="8">
        <v>45634</v>
      </c>
      <c r="B100" s="3" t="s">
        <v>82</v>
      </c>
      <c r="C100" s="3" t="s">
        <v>104</v>
      </c>
      <c r="D100" s="3" t="s">
        <v>76</v>
      </c>
      <c r="E100" s="3">
        <v>10</v>
      </c>
      <c r="F100" s="3">
        <v>105</v>
      </c>
      <c r="G100" s="3">
        <v>10.5</v>
      </c>
      <c r="H100" s="4">
        <v>0.2</v>
      </c>
      <c r="I100" s="5">
        <v>141028</v>
      </c>
      <c r="J100" s="5">
        <v>14103</v>
      </c>
      <c r="K100" s="4">
        <v>1.508</v>
      </c>
      <c r="L100" s="4">
        <v>0.2</v>
      </c>
      <c r="M100" s="5">
        <v>898300</v>
      </c>
      <c r="N100" s="5">
        <v>212697</v>
      </c>
      <c r="O100" s="5">
        <v>158248.74</v>
      </c>
      <c r="P100" s="5">
        <v>197163</v>
      </c>
      <c r="Q100" s="4">
        <v>0.23699999999999999</v>
      </c>
      <c r="R100" s="4">
        <v>1.3440000000000001</v>
      </c>
      <c r="S100" s="18">
        <v>5.6769999999999996</v>
      </c>
      <c r="T100" s="10">
        <v>673443</v>
      </c>
      <c r="U100" s="10">
        <v>47638</v>
      </c>
      <c r="V100" s="11">
        <v>7.0999999999999994E-2</v>
      </c>
      <c r="W100" s="12">
        <f>IF(raceday_22_23[[#This Row],[Last Year Turnover]]=0, "No Corresponding PY Meeting", (raceday_22_23[[#This Row],[Betcha Inc. TO]]-raceday_22_23[[#This Row],[Last Year Turnover]])/raceday_22_23[[#This Row],[Last Year Turnover]])</f>
        <v>0.38822371975059361</v>
      </c>
      <c r="X100" s="3">
        <f>MONTH(raceday_22_23[[#This Row],[Raceday Date]])</f>
        <v>12</v>
      </c>
      <c r="Y10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0" s="3" t="str">
        <f>raceday_22_23[[#This Row],[Raceday Date]]&amp;raceday_22_23[[#This Row],[Club]]</f>
        <v>45634Forbury Park Trotting Club Inc</v>
      </c>
      <c r="AA100" s="5">
        <f>0.03*raceday_22_23[[#This Row],[Export TO (AUD)]]</f>
        <v>5914.8899999999994</v>
      </c>
      <c r="AB100" s="5">
        <f>_xlfn.XLOOKUP(raceday_22_23[[#This Row],[Helper]],'Betcha Integrated'!A:A,'Betcha Integrated'!F:F, 0)</f>
        <v>934889.54649999901</v>
      </c>
      <c r="AC100" s="5">
        <f>_xlfn.XLOOKUP(raceday_22_23[[#This Row],[Helper]],'Betcha Integrated'!A:A,'Betcha Integrated'!G:G, 0)</f>
        <v>218218.42454999988</v>
      </c>
      <c r="AD100" s="5">
        <f>raceday_22_23[[#This Row],[Export Earned]]+raceday_22_23[[#This Row],[Betcha Inc. GBR]]</f>
        <v>224133.31454999989</v>
      </c>
      <c r="AE100" s="88">
        <f>ROUND(raceday_22_23[[#This Row],[Fav. Win %]]*raceday_22_23[[#This Row],[Races]], 0)</f>
        <v>2</v>
      </c>
    </row>
    <row r="101" spans="1:31" x14ac:dyDescent="0.3">
      <c r="A101" s="8">
        <v>45636</v>
      </c>
      <c r="B101" s="3" t="s">
        <v>83</v>
      </c>
      <c r="C101" s="3" t="s">
        <v>101</v>
      </c>
      <c r="D101" s="3" t="s">
        <v>79</v>
      </c>
      <c r="E101" s="3">
        <v>7</v>
      </c>
      <c r="F101" s="3">
        <v>51</v>
      </c>
      <c r="G101" s="3">
        <v>7.3</v>
      </c>
      <c r="H101" s="4">
        <v>0.14299999999999999</v>
      </c>
      <c r="I101" s="5">
        <v>69314</v>
      </c>
      <c r="J101" s="5">
        <v>9902</v>
      </c>
      <c r="K101" s="4">
        <v>0.878</v>
      </c>
      <c r="L101" s="4">
        <v>0</v>
      </c>
      <c r="M101" s="5">
        <v>257796</v>
      </c>
      <c r="N101" s="5">
        <v>60835</v>
      </c>
      <c r="O101" s="5">
        <v>80203.8</v>
      </c>
      <c r="P101" s="5">
        <v>96050</v>
      </c>
      <c r="Q101" s="4">
        <v>0.23599999999999999</v>
      </c>
      <c r="R101" s="4">
        <v>0.75900000000000001</v>
      </c>
      <c r="S101" s="18">
        <v>3.214</v>
      </c>
      <c r="T101" s="10">
        <v>326168</v>
      </c>
      <c r="U101" s="10">
        <v>-91370</v>
      </c>
      <c r="V101" s="11">
        <v>-0.28000000000000003</v>
      </c>
      <c r="W101" s="12">
        <f>IF(raceday_22_23[[#This Row],[Last Year Turnover]]=0, "No Corresponding PY Meeting", (raceday_22_23[[#This Row],[Betcha Inc. TO]]-raceday_22_23[[#This Row],[Last Year Turnover]])/raceday_22_23[[#This Row],[Last Year Turnover]])</f>
        <v>-0.14918923254273869</v>
      </c>
      <c r="X101" s="3">
        <f>MONTH(raceday_22_23[[#This Row],[Raceday Date]])</f>
        <v>12</v>
      </c>
      <c r="Y10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1" s="3" t="str">
        <f>raceday_22_23[[#This Row],[Raceday Date]]&amp;raceday_22_23[[#This Row],[Club]]</f>
        <v>45636Manawatu Harness Racing Club Inc</v>
      </c>
      <c r="AA101" s="5">
        <f>0.03*raceday_22_23[[#This Row],[Export TO (AUD)]]</f>
        <v>2881.5</v>
      </c>
      <c r="AB101" s="5">
        <f>_xlfn.XLOOKUP(raceday_22_23[[#This Row],[Helper]],'Betcha Integrated'!A:A,'Betcha Integrated'!F:F, 0)</f>
        <v>277507.2464</v>
      </c>
      <c r="AC101" s="5">
        <f>_xlfn.XLOOKUP(raceday_22_23[[#This Row],[Helper]],'Betcha Integrated'!A:A,'Betcha Integrated'!G:G, 0)</f>
        <v>64156.865149999998</v>
      </c>
      <c r="AD101" s="5">
        <f>raceday_22_23[[#This Row],[Export Earned]]+raceday_22_23[[#This Row],[Betcha Inc. GBR]]</f>
        <v>67038.365149999998</v>
      </c>
      <c r="AE101" s="88">
        <f>ROUND(raceday_22_23[[#This Row],[Fav. Win %]]*raceday_22_23[[#This Row],[Races]], 0)</f>
        <v>1</v>
      </c>
    </row>
    <row r="102" spans="1:31" x14ac:dyDescent="0.3">
      <c r="A102" s="8">
        <v>45637</v>
      </c>
      <c r="B102" s="3" t="s">
        <v>96</v>
      </c>
      <c r="C102" s="3" t="s">
        <v>92</v>
      </c>
      <c r="D102" s="3" t="s">
        <v>76</v>
      </c>
      <c r="E102" s="3">
        <v>10</v>
      </c>
      <c r="F102" s="3">
        <v>91</v>
      </c>
      <c r="G102" s="3">
        <v>9.1</v>
      </c>
      <c r="H102" s="4">
        <v>0.4</v>
      </c>
      <c r="I102" s="5">
        <v>104330</v>
      </c>
      <c r="J102" s="5">
        <v>10433</v>
      </c>
      <c r="K102" s="4">
        <v>1.2170000000000001</v>
      </c>
      <c r="L102" s="4">
        <v>0.1</v>
      </c>
      <c r="M102" s="5">
        <v>578932</v>
      </c>
      <c r="N102" s="5">
        <v>126980</v>
      </c>
      <c r="O102" s="5">
        <v>130191.2</v>
      </c>
      <c r="P102" s="5">
        <v>169337</v>
      </c>
      <c r="Q102" s="4">
        <v>0.219</v>
      </c>
      <c r="R102" s="4">
        <v>0.97499999999999998</v>
      </c>
      <c r="S102" s="18">
        <v>4.4470000000000001</v>
      </c>
      <c r="T102" s="10">
        <v>646415</v>
      </c>
      <c r="U102" s="10">
        <v>134853</v>
      </c>
      <c r="V102" s="11">
        <v>0.20899999999999999</v>
      </c>
      <c r="W102" s="12">
        <f>IF(raceday_22_23[[#This Row],[Last Year Turnover]]=0, "No Corresponding PY Meeting", (raceday_22_23[[#This Row],[Betcha Inc. TO]]-raceday_22_23[[#This Row],[Last Year Turnover]])/raceday_22_23[[#This Row],[Last Year Turnover]])</f>
        <v>-6.527278188161019E-2</v>
      </c>
      <c r="X102" s="3">
        <f>MONTH(raceday_22_23[[#This Row],[Raceday Date]])</f>
        <v>12</v>
      </c>
      <c r="Y10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2" s="3" t="str">
        <f>raceday_22_23[[#This Row],[Raceday Date]]&amp;raceday_22_23[[#This Row],[Club]]</f>
        <v>45637Oamaru Harness Racing Club Inc</v>
      </c>
      <c r="AA102" s="5">
        <f>0.03*raceday_22_23[[#This Row],[Export TO (AUD)]]</f>
        <v>5080.1099999999997</v>
      </c>
      <c r="AB102" s="5">
        <f>_xlfn.XLOOKUP(raceday_22_23[[#This Row],[Helper]],'Betcha Integrated'!A:A,'Betcha Integrated'!F:F, 0)</f>
        <v>604221.69469999894</v>
      </c>
      <c r="AC102" s="5">
        <f>_xlfn.XLOOKUP(raceday_22_23[[#This Row],[Helper]],'Betcha Integrated'!A:A,'Betcha Integrated'!G:G, 0)</f>
        <v>131100.33879999991</v>
      </c>
      <c r="AD102" s="5">
        <f>raceday_22_23[[#This Row],[Export Earned]]+raceday_22_23[[#This Row],[Betcha Inc. GBR]]</f>
        <v>136180.4487999999</v>
      </c>
      <c r="AE102" s="88">
        <f>ROUND(raceday_22_23[[#This Row],[Fav. Win %]]*raceday_22_23[[#This Row],[Races]], 0)</f>
        <v>4</v>
      </c>
    </row>
    <row r="103" spans="1:31" x14ac:dyDescent="0.3">
      <c r="A103" s="8">
        <v>45638</v>
      </c>
      <c r="B103" s="3" t="s">
        <v>74</v>
      </c>
      <c r="C103" s="3" t="s">
        <v>75</v>
      </c>
      <c r="D103" s="3" t="s">
        <v>76</v>
      </c>
      <c r="E103" s="3">
        <v>10</v>
      </c>
      <c r="F103" s="3">
        <v>98</v>
      </c>
      <c r="G103" s="3">
        <v>9.8000000000000007</v>
      </c>
      <c r="H103" s="4">
        <v>0.3</v>
      </c>
      <c r="I103" s="5">
        <v>135342</v>
      </c>
      <c r="J103" s="5">
        <v>13534</v>
      </c>
      <c r="K103" s="4">
        <v>1.0680000000000001</v>
      </c>
      <c r="L103" s="4">
        <v>0.2</v>
      </c>
      <c r="M103" s="5">
        <v>586400</v>
      </c>
      <c r="N103" s="5">
        <v>144496</v>
      </c>
      <c r="O103" s="5">
        <v>157338.34</v>
      </c>
      <c r="P103" s="5">
        <v>293798</v>
      </c>
      <c r="Q103" s="4">
        <v>0.246</v>
      </c>
      <c r="R103" s="4">
        <v>0.91800000000000004</v>
      </c>
      <c r="S103" s="18">
        <v>3.7269999999999999</v>
      </c>
      <c r="T103" s="10">
        <v>643409</v>
      </c>
      <c r="U103" s="10">
        <v>67202</v>
      </c>
      <c r="V103" s="11">
        <v>0.104</v>
      </c>
      <c r="W103" s="12">
        <f>IF(raceday_22_23[[#This Row],[Last Year Turnover]]=0, "No Corresponding PY Meeting", (raceday_22_23[[#This Row],[Betcha Inc. TO]]-raceday_22_23[[#This Row],[Last Year Turnover]])/raceday_22_23[[#This Row],[Last Year Turnover]])</f>
        <v>-3.5015342185143496E-2</v>
      </c>
      <c r="X103" s="3">
        <f>MONTH(raceday_22_23[[#This Row],[Raceday Date]])</f>
        <v>12</v>
      </c>
      <c r="Y10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3" s="3" t="str">
        <f>raceday_22_23[[#This Row],[Raceday Date]]&amp;raceday_22_23[[#This Row],[Club]]</f>
        <v>45638Winton Harness Racing Club Inc</v>
      </c>
      <c r="AA103" s="5">
        <f>0.03*raceday_22_23[[#This Row],[Export TO (AUD)]]</f>
        <v>8813.94</v>
      </c>
      <c r="AB103" s="5">
        <f>_xlfn.XLOOKUP(raceday_22_23[[#This Row],[Helper]],'Betcha Integrated'!A:A,'Betcha Integrated'!F:F, 0)</f>
        <v>620879.81369999901</v>
      </c>
      <c r="AC103" s="5">
        <f>_xlfn.XLOOKUP(raceday_22_23[[#This Row],[Helper]],'Betcha Integrated'!A:A,'Betcha Integrated'!G:G, 0)</f>
        <v>150882.33519999991</v>
      </c>
      <c r="AD103" s="5">
        <f>raceday_22_23[[#This Row],[Export Earned]]+raceday_22_23[[#This Row],[Betcha Inc. GBR]]</f>
        <v>159696.27519999992</v>
      </c>
      <c r="AE103" s="88">
        <f>ROUND(raceday_22_23[[#This Row],[Fav. Win %]]*raceday_22_23[[#This Row],[Races]], 0)</f>
        <v>3</v>
      </c>
    </row>
    <row r="104" spans="1:31" x14ac:dyDescent="0.3">
      <c r="A104" s="8">
        <v>45638</v>
      </c>
      <c r="B104" s="3" t="s">
        <v>74</v>
      </c>
      <c r="C104" s="3" t="s">
        <v>101</v>
      </c>
      <c r="D104" s="3" t="s">
        <v>79</v>
      </c>
      <c r="E104" s="3">
        <v>7</v>
      </c>
      <c r="F104" s="3">
        <v>51</v>
      </c>
      <c r="G104" s="3">
        <v>7.3</v>
      </c>
      <c r="H104" s="4">
        <v>0.28599999999999998</v>
      </c>
      <c r="I104" s="5">
        <v>71139</v>
      </c>
      <c r="J104" s="5">
        <v>10163</v>
      </c>
      <c r="K104" s="4">
        <v>0.36199999999999999</v>
      </c>
      <c r="L104" s="4">
        <v>0.14299999999999999</v>
      </c>
      <c r="M104" s="5">
        <v>305548</v>
      </c>
      <c r="N104" s="5">
        <v>25763</v>
      </c>
      <c r="O104" s="5">
        <v>85561.3</v>
      </c>
      <c r="P104" s="5">
        <v>163453</v>
      </c>
      <c r="Q104" s="4">
        <v>8.4000000000000005E-2</v>
      </c>
      <c r="R104" s="4">
        <v>0.30099999999999999</v>
      </c>
      <c r="S104" s="18">
        <v>3.5710000000000002</v>
      </c>
      <c r="T104" s="10">
        <v>519457</v>
      </c>
      <c r="U104" s="10">
        <v>102732</v>
      </c>
      <c r="V104" s="11">
        <v>0.19800000000000001</v>
      </c>
      <c r="W104" s="12">
        <f>IF(raceday_22_23[[#This Row],[Last Year Turnover]]=0, "No Corresponding PY Meeting", (raceday_22_23[[#This Row],[Betcha Inc. TO]]-raceday_22_23[[#This Row],[Last Year Turnover]])/raceday_22_23[[#This Row],[Last Year Turnover]])</f>
        <v>-0.37151970923483751</v>
      </c>
      <c r="X104" s="3">
        <f>MONTH(raceday_22_23[[#This Row],[Raceday Date]])</f>
        <v>12</v>
      </c>
      <c r="Y10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4" s="3" t="str">
        <f>raceday_22_23[[#This Row],[Raceday Date]]&amp;raceday_22_23[[#This Row],[Club]]</f>
        <v>45638Manawatu Harness Racing Club Inc</v>
      </c>
      <c r="AA104" s="5">
        <f>0.03*raceday_22_23[[#This Row],[Export TO (AUD)]]</f>
        <v>4903.59</v>
      </c>
      <c r="AB104" s="5">
        <f>_xlfn.XLOOKUP(raceday_22_23[[#This Row],[Helper]],'Betcha Integrated'!A:A,'Betcha Integrated'!F:F, 0)</f>
        <v>326468.486399999</v>
      </c>
      <c r="AC104" s="5">
        <f>_xlfn.XLOOKUP(raceday_22_23[[#This Row],[Helper]],'Betcha Integrated'!A:A,'Betcha Integrated'!G:G, 0)</f>
        <v>25652.783399999898</v>
      </c>
      <c r="AD104" s="5">
        <f>raceday_22_23[[#This Row],[Export Earned]]+raceday_22_23[[#This Row],[Betcha Inc. GBR]]</f>
        <v>30556.373399999899</v>
      </c>
      <c r="AE104" s="88">
        <f>ROUND(raceday_22_23[[#This Row],[Fav. Win %]]*raceday_22_23[[#This Row],[Races]], 0)</f>
        <v>2</v>
      </c>
    </row>
    <row r="105" spans="1:31" x14ac:dyDescent="0.3">
      <c r="A105" s="8">
        <v>45639</v>
      </c>
      <c r="B105" s="3" t="s">
        <v>77</v>
      </c>
      <c r="C105" s="3" t="s">
        <v>78</v>
      </c>
      <c r="D105" s="3" t="s">
        <v>79</v>
      </c>
      <c r="E105" s="3">
        <v>9</v>
      </c>
      <c r="F105" s="3">
        <v>88</v>
      </c>
      <c r="G105" s="3">
        <v>9.8000000000000007</v>
      </c>
      <c r="H105" s="4">
        <v>0.44400000000000001</v>
      </c>
      <c r="I105" s="5">
        <v>344637</v>
      </c>
      <c r="J105" s="5">
        <v>38293</v>
      </c>
      <c r="K105" s="4">
        <v>0.40899999999999997</v>
      </c>
      <c r="L105" s="4">
        <v>0</v>
      </c>
      <c r="M105" s="5">
        <v>789087</v>
      </c>
      <c r="N105" s="5">
        <v>141084</v>
      </c>
      <c r="O105" s="5">
        <v>370938.13</v>
      </c>
      <c r="P105" s="5">
        <v>136983</v>
      </c>
      <c r="Q105" s="4">
        <v>0.17899999999999999</v>
      </c>
      <c r="R105" s="4">
        <v>0.38</v>
      </c>
      <c r="S105" s="18">
        <v>2.1269999999999998</v>
      </c>
      <c r="T105" s="10">
        <v>673402</v>
      </c>
      <c r="U105" s="10">
        <v>146392</v>
      </c>
      <c r="V105" s="11">
        <v>0.217</v>
      </c>
      <c r="W105" s="12">
        <f>IF(raceday_22_23[[#This Row],[Last Year Turnover]]=0, "No Corresponding PY Meeting", (raceday_22_23[[#This Row],[Betcha Inc. TO]]-raceday_22_23[[#This Row],[Last Year Turnover]])/raceday_22_23[[#This Row],[Last Year Turnover]])</f>
        <v>0.24887094484423716</v>
      </c>
      <c r="X105" s="3">
        <f>MONTH(raceday_22_23[[#This Row],[Raceday Date]])</f>
        <v>12</v>
      </c>
      <c r="Y10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5" s="3" t="str">
        <f>raceday_22_23[[#This Row],[Raceday Date]]&amp;raceday_22_23[[#This Row],[Club]]</f>
        <v>45639Auckland Trotting Club Inc</v>
      </c>
      <c r="AA105" s="5">
        <f>0.03*raceday_22_23[[#This Row],[Export TO (AUD)]]</f>
        <v>4109.49</v>
      </c>
      <c r="AB105" s="5">
        <f>_xlfn.XLOOKUP(raceday_22_23[[#This Row],[Helper]],'Betcha Integrated'!A:A,'Betcha Integrated'!F:F, 0)</f>
        <v>840992.19199999899</v>
      </c>
      <c r="AC105" s="5">
        <f>_xlfn.XLOOKUP(raceday_22_23[[#This Row],[Helper]],'Betcha Integrated'!A:A,'Betcha Integrated'!G:G, 0)</f>
        <v>144072.5940999999</v>
      </c>
      <c r="AD105" s="5">
        <f>raceday_22_23[[#This Row],[Export Earned]]+raceday_22_23[[#This Row],[Betcha Inc. GBR]]</f>
        <v>148182.08409999989</v>
      </c>
      <c r="AE105" s="88">
        <f>ROUND(raceday_22_23[[#This Row],[Fav. Win %]]*raceday_22_23[[#This Row],[Races]], 0)</f>
        <v>4</v>
      </c>
    </row>
    <row r="106" spans="1:31" x14ac:dyDescent="0.3">
      <c r="A106" s="8">
        <v>45639</v>
      </c>
      <c r="B106" s="3" t="s">
        <v>77</v>
      </c>
      <c r="C106" s="3" t="s">
        <v>80</v>
      </c>
      <c r="D106" s="3" t="s">
        <v>81</v>
      </c>
      <c r="E106" s="3">
        <v>10</v>
      </c>
      <c r="F106" s="3">
        <v>101</v>
      </c>
      <c r="G106" s="3">
        <v>10.1</v>
      </c>
      <c r="H106" s="4">
        <v>0.3</v>
      </c>
      <c r="I106" s="5">
        <v>196211</v>
      </c>
      <c r="J106" s="5">
        <v>19621</v>
      </c>
      <c r="K106" s="4">
        <v>0.59499999999999997</v>
      </c>
      <c r="L106" s="4">
        <v>0.1</v>
      </c>
      <c r="M106" s="5">
        <v>842538</v>
      </c>
      <c r="N106" s="5">
        <v>116711</v>
      </c>
      <c r="O106" s="5">
        <v>233909.42</v>
      </c>
      <c r="P106" s="5">
        <v>135440</v>
      </c>
      <c r="Q106" s="4">
        <v>0.13900000000000001</v>
      </c>
      <c r="R106" s="4">
        <v>0.499</v>
      </c>
      <c r="S106" s="18">
        <v>3.6019999999999999</v>
      </c>
      <c r="T106" s="10">
        <v>747670</v>
      </c>
      <c r="U106" s="10">
        <v>130609</v>
      </c>
      <c r="V106" s="11">
        <v>0.17499999999999999</v>
      </c>
      <c r="W106" s="12">
        <f>IF(raceday_22_23[[#This Row],[Last Year Turnover]]=0, "No Corresponding PY Meeting", (raceday_22_23[[#This Row],[Betcha Inc. TO]]-raceday_22_23[[#This Row],[Last Year Turnover]])/raceday_22_23[[#This Row],[Last Year Turnover]])</f>
        <v>0.21062297109687297</v>
      </c>
      <c r="X106" s="3">
        <f>MONTH(raceday_22_23[[#This Row],[Raceday Date]])</f>
        <v>12</v>
      </c>
      <c r="Y10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6" s="3" t="str">
        <f>raceday_22_23[[#This Row],[Raceday Date]]&amp;raceday_22_23[[#This Row],[Club]]</f>
        <v>45639NZ Metropolitan Trotting Club Inc</v>
      </c>
      <c r="AA106" s="5">
        <f>0.03*raceday_22_23[[#This Row],[Export TO (AUD)]]</f>
        <v>4063.2</v>
      </c>
      <c r="AB106" s="5">
        <f>_xlfn.XLOOKUP(raceday_22_23[[#This Row],[Helper]],'Betcha Integrated'!A:A,'Betcha Integrated'!F:F, 0)</f>
        <v>905146.47679999901</v>
      </c>
      <c r="AC106" s="5">
        <f>_xlfn.XLOOKUP(raceday_22_23[[#This Row],[Helper]],'Betcha Integrated'!A:A,'Betcha Integrated'!G:G, 0)</f>
        <v>133732.53449999989</v>
      </c>
      <c r="AD106" s="5">
        <f>raceday_22_23[[#This Row],[Export Earned]]+raceday_22_23[[#This Row],[Betcha Inc. GBR]]</f>
        <v>137795.7344999999</v>
      </c>
      <c r="AE106" s="88">
        <f>ROUND(raceday_22_23[[#This Row],[Fav. Win %]]*raceday_22_23[[#This Row],[Races]], 0)</f>
        <v>3</v>
      </c>
    </row>
    <row r="107" spans="1:31" x14ac:dyDescent="0.3">
      <c r="A107" s="8">
        <v>45641</v>
      </c>
      <c r="B107" s="3" t="s">
        <v>82</v>
      </c>
      <c r="C107" s="3" t="s">
        <v>89</v>
      </c>
      <c r="D107" s="3" t="s">
        <v>81</v>
      </c>
      <c r="E107" s="3">
        <v>10</v>
      </c>
      <c r="F107" s="3">
        <v>127</v>
      </c>
      <c r="G107" s="3">
        <v>12.7</v>
      </c>
      <c r="H107" s="4">
        <v>0.3</v>
      </c>
      <c r="I107" s="5">
        <v>146444</v>
      </c>
      <c r="J107" s="5">
        <v>14644</v>
      </c>
      <c r="K107" s="4">
        <v>1.3759999999999999</v>
      </c>
      <c r="L107" s="4">
        <v>0.1</v>
      </c>
      <c r="M107" s="5">
        <v>1111322</v>
      </c>
      <c r="N107" s="5">
        <v>201462</v>
      </c>
      <c r="O107" s="5">
        <v>179225.75</v>
      </c>
      <c r="P107" s="5">
        <v>159352</v>
      </c>
      <c r="Q107" s="4">
        <v>0.18099999999999999</v>
      </c>
      <c r="R107" s="4">
        <v>1.1240000000000001</v>
      </c>
      <c r="S107" s="18">
        <v>6.2009999999999996</v>
      </c>
      <c r="T107" s="10">
        <v>1425882</v>
      </c>
      <c r="U107" s="10">
        <v>318331</v>
      </c>
      <c r="V107" s="11">
        <v>0.223</v>
      </c>
      <c r="W107" s="12">
        <f>IF(raceday_22_23[[#This Row],[Last Year Turnover]]=0, "No Corresponding PY Meeting", (raceday_22_23[[#This Row],[Betcha Inc. TO]]-raceday_22_23[[#This Row],[Last Year Turnover]])/raceday_22_23[[#This Row],[Last Year Turnover]])</f>
        <v>-0.1797283338312714</v>
      </c>
      <c r="X107" s="3">
        <f>MONTH(raceday_22_23[[#This Row],[Raceday Date]])</f>
        <v>12</v>
      </c>
      <c r="Y10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7" s="3" t="str">
        <f>raceday_22_23[[#This Row],[Raceday Date]]&amp;raceday_22_23[[#This Row],[Club]]</f>
        <v>45641Rangiora Harness Racing Club Inc</v>
      </c>
      <c r="AA107" s="5">
        <f>0.03*raceday_22_23[[#This Row],[Export TO (AUD)]]</f>
        <v>4780.5599999999995</v>
      </c>
      <c r="AB107" s="5">
        <f>_xlfn.XLOOKUP(raceday_22_23[[#This Row],[Helper]],'Betcha Integrated'!A:A,'Betcha Integrated'!F:F, 0)</f>
        <v>1169610.6038999991</v>
      </c>
      <c r="AC107" s="5">
        <f>_xlfn.XLOOKUP(raceday_22_23[[#This Row],[Helper]],'Betcha Integrated'!A:A,'Betcha Integrated'!G:G, 0)</f>
        <v>213735.23829999898</v>
      </c>
      <c r="AD107" s="5">
        <f>raceday_22_23[[#This Row],[Export Earned]]+raceday_22_23[[#This Row],[Betcha Inc. GBR]]</f>
        <v>218515.79829999898</v>
      </c>
      <c r="AE107" s="88">
        <f>ROUND(raceday_22_23[[#This Row],[Fav. Win %]]*raceday_22_23[[#This Row],[Races]], 0)</f>
        <v>3</v>
      </c>
    </row>
    <row r="108" spans="1:31" x14ac:dyDescent="0.3">
      <c r="A108" s="8">
        <v>45643</v>
      </c>
      <c r="B108" s="3" t="s">
        <v>83</v>
      </c>
      <c r="C108" s="3" t="s">
        <v>80</v>
      </c>
      <c r="D108" s="3" t="s">
        <v>81</v>
      </c>
      <c r="E108" s="3">
        <v>9</v>
      </c>
      <c r="F108" s="3">
        <v>82</v>
      </c>
      <c r="G108" s="3">
        <v>9.1</v>
      </c>
      <c r="H108" s="4">
        <v>0.44400000000000001</v>
      </c>
      <c r="I108" s="5">
        <v>72150</v>
      </c>
      <c r="J108" s="5">
        <v>8017</v>
      </c>
      <c r="K108" s="4">
        <v>1.3120000000000001</v>
      </c>
      <c r="L108" s="4">
        <v>0</v>
      </c>
      <c r="M108" s="5">
        <v>429904</v>
      </c>
      <c r="N108" s="5">
        <v>94680</v>
      </c>
      <c r="O108" s="5">
        <v>109951.92</v>
      </c>
      <c r="P108" s="5">
        <v>271253</v>
      </c>
      <c r="Q108" s="4">
        <v>0.22</v>
      </c>
      <c r="R108" s="4">
        <v>0.86099999999999999</v>
      </c>
      <c r="S108" s="18">
        <v>3.91</v>
      </c>
      <c r="T108" s="10">
        <v>0</v>
      </c>
      <c r="U108" s="10">
        <v>0</v>
      </c>
      <c r="V108" s="11">
        <v>0</v>
      </c>
      <c r="W10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08" s="3">
        <f>MONTH(raceday_22_23[[#This Row],[Raceday Date]])</f>
        <v>12</v>
      </c>
      <c r="Y10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8" s="3" t="str">
        <f>raceday_22_23[[#This Row],[Raceday Date]]&amp;raceday_22_23[[#This Row],[Club]]</f>
        <v>45643NZ Metropolitan Trotting Club Inc</v>
      </c>
      <c r="AA108" s="5">
        <f>0.03*raceday_22_23[[#This Row],[Export TO (AUD)]]</f>
        <v>8137.59</v>
      </c>
      <c r="AB108" s="5">
        <f>_xlfn.XLOOKUP(raceday_22_23[[#This Row],[Helper]],'Betcha Integrated'!A:A,'Betcha Integrated'!F:F, 0)</f>
        <v>475085.28549999895</v>
      </c>
      <c r="AC108" s="5">
        <f>_xlfn.XLOOKUP(raceday_22_23[[#This Row],[Helper]],'Betcha Integrated'!A:A,'Betcha Integrated'!G:G, 0)</f>
        <v>97320.100799999898</v>
      </c>
      <c r="AD108" s="5">
        <f>raceday_22_23[[#This Row],[Export Earned]]+raceday_22_23[[#This Row],[Betcha Inc. GBR]]</f>
        <v>105457.69079999989</v>
      </c>
      <c r="AE108" s="88">
        <f>ROUND(raceday_22_23[[#This Row],[Fav. Win %]]*raceday_22_23[[#This Row],[Races]], 0)</f>
        <v>4</v>
      </c>
    </row>
    <row r="109" spans="1:31" x14ac:dyDescent="0.3">
      <c r="A109" s="8">
        <v>45645</v>
      </c>
      <c r="B109" s="3" t="s">
        <v>74</v>
      </c>
      <c r="C109" s="3" t="s">
        <v>84</v>
      </c>
      <c r="D109" s="3" t="s">
        <v>79</v>
      </c>
      <c r="E109" s="3">
        <v>8</v>
      </c>
      <c r="F109" s="3">
        <v>62</v>
      </c>
      <c r="G109" s="3">
        <v>7.8</v>
      </c>
      <c r="H109" s="4">
        <v>0.375</v>
      </c>
      <c r="I109" s="5">
        <v>72190</v>
      </c>
      <c r="J109" s="5">
        <v>9024</v>
      </c>
      <c r="K109" s="4">
        <v>1.6279999999999999</v>
      </c>
      <c r="L109" s="4">
        <v>0.125</v>
      </c>
      <c r="M109" s="5">
        <v>453827</v>
      </c>
      <c r="N109" s="5">
        <v>117554</v>
      </c>
      <c r="O109" s="5">
        <v>97481.24</v>
      </c>
      <c r="P109" s="5">
        <v>272268</v>
      </c>
      <c r="Q109" s="4">
        <v>0.25900000000000001</v>
      </c>
      <c r="R109" s="4">
        <v>1.206</v>
      </c>
      <c r="S109" s="18">
        <v>4.6559999999999997</v>
      </c>
      <c r="T109" s="10">
        <v>0</v>
      </c>
      <c r="U109" s="10">
        <v>0</v>
      </c>
      <c r="V109" s="11">
        <v>0</v>
      </c>
      <c r="W10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09" s="3">
        <f>MONTH(raceday_22_23[[#This Row],[Raceday Date]])</f>
        <v>12</v>
      </c>
      <c r="Y10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09" s="3" t="str">
        <f>raceday_22_23[[#This Row],[Raceday Date]]&amp;raceday_22_23[[#This Row],[Club]]</f>
        <v>45645Waikato Bay of Plenty Harness Inc</v>
      </c>
      <c r="AA109" s="5">
        <f>0.03*raceday_22_23[[#This Row],[Export TO (AUD)]]</f>
        <v>8168.04</v>
      </c>
      <c r="AB109" s="5">
        <f>_xlfn.XLOOKUP(raceday_22_23[[#This Row],[Helper]],'Betcha Integrated'!A:A,'Betcha Integrated'!F:F, 0)</f>
        <v>480411.16919999896</v>
      </c>
      <c r="AC109" s="5">
        <f>_xlfn.XLOOKUP(raceday_22_23[[#This Row],[Helper]],'Betcha Integrated'!A:A,'Betcha Integrated'!G:G, 0)</f>
        <v>120477.0983999999</v>
      </c>
      <c r="AD109" s="5">
        <f>raceday_22_23[[#This Row],[Export Earned]]+raceday_22_23[[#This Row],[Betcha Inc. GBR]]</f>
        <v>128645.13839999989</v>
      </c>
      <c r="AE109" s="88">
        <f>ROUND(raceday_22_23[[#This Row],[Fav. Win %]]*raceday_22_23[[#This Row],[Races]], 0)</f>
        <v>3</v>
      </c>
    </row>
    <row r="110" spans="1:31" x14ac:dyDescent="0.3">
      <c r="A110" s="8">
        <v>45646</v>
      </c>
      <c r="B110" s="3" t="s">
        <v>77</v>
      </c>
      <c r="C110" s="3" t="s">
        <v>85</v>
      </c>
      <c r="D110" s="3" t="s">
        <v>76</v>
      </c>
      <c r="E110" s="3">
        <v>12</v>
      </c>
      <c r="F110" s="3">
        <v>138</v>
      </c>
      <c r="G110" s="3">
        <v>11.5</v>
      </c>
      <c r="H110" s="4">
        <v>0.5</v>
      </c>
      <c r="I110" s="5">
        <v>399927</v>
      </c>
      <c r="J110" s="5">
        <v>33327</v>
      </c>
      <c r="K110" s="4">
        <v>0.33700000000000002</v>
      </c>
      <c r="L110" s="4">
        <v>8.3000000000000004E-2</v>
      </c>
      <c r="M110" s="5">
        <v>1386249</v>
      </c>
      <c r="N110" s="5">
        <v>134897</v>
      </c>
      <c r="O110" s="5">
        <v>424963.86</v>
      </c>
      <c r="P110" s="5">
        <v>385803</v>
      </c>
      <c r="Q110" s="4">
        <v>9.7000000000000003E-2</v>
      </c>
      <c r="R110" s="4">
        <v>0.317</v>
      </c>
      <c r="S110" s="18">
        <v>3.262</v>
      </c>
      <c r="T110" s="10">
        <v>1594228</v>
      </c>
      <c r="U110" s="10">
        <v>178113</v>
      </c>
      <c r="V110" s="11">
        <v>0.112</v>
      </c>
      <c r="W110" s="12">
        <f>IF(raceday_22_23[[#This Row],[Last Year Turnover]]=0, "No Corresponding PY Meeting", (raceday_22_23[[#This Row],[Betcha Inc. TO]]-raceday_22_23[[#This Row],[Last Year Turnover]])/raceday_22_23[[#This Row],[Last Year Turnover]])</f>
        <v>-9.0701213126353958E-2</v>
      </c>
      <c r="X110" s="3">
        <f>MONTH(raceday_22_23[[#This Row],[Raceday Date]])</f>
        <v>12</v>
      </c>
      <c r="Y11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0" s="3" t="str">
        <f>raceday_22_23[[#This Row],[Raceday Date]]&amp;raceday_22_23[[#This Row],[Club]]</f>
        <v>45646Invercargill Harness Racing Club Inc</v>
      </c>
      <c r="AA110" s="5">
        <f>0.03*raceday_22_23[[#This Row],[Export TO (AUD)]]</f>
        <v>11574.09</v>
      </c>
      <c r="AB110" s="5">
        <f>_xlfn.XLOOKUP(raceday_22_23[[#This Row],[Helper]],'Betcha Integrated'!A:A,'Betcha Integrated'!F:F, 0)</f>
        <v>1449629.586399999</v>
      </c>
      <c r="AC110" s="5">
        <f>_xlfn.XLOOKUP(raceday_22_23[[#This Row],[Helper]],'Betcha Integrated'!A:A,'Betcha Integrated'!G:G, 0)</f>
        <v>140645.10839999898</v>
      </c>
      <c r="AD110" s="5">
        <f>raceday_22_23[[#This Row],[Export Earned]]+raceday_22_23[[#This Row],[Betcha Inc. GBR]]</f>
        <v>152219.19839999898</v>
      </c>
      <c r="AE110" s="88">
        <f>ROUND(raceday_22_23[[#This Row],[Fav. Win %]]*raceday_22_23[[#This Row],[Races]], 0)</f>
        <v>6</v>
      </c>
    </row>
    <row r="111" spans="1:31" x14ac:dyDescent="0.3">
      <c r="A111" s="8">
        <v>45646</v>
      </c>
      <c r="B111" s="3" t="s">
        <v>77</v>
      </c>
      <c r="C111" s="3" t="s">
        <v>78</v>
      </c>
      <c r="D111" s="3" t="s">
        <v>79</v>
      </c>
      <c r="E111" s="3">
        <v>10</v>
      </c>
      <c r="F111" s="3">
        <v>114</v>
      </c>
      <c r="G111" s="3">
        <v>11.4</v>
      </c>
      <c r="H111" s="4">
        <v>0.4</v>
      </c>
      <c r="I111" s="5">
        <v>235000</v>
      </c>
      <c r="J111" s="5">
        <v>23500</v>
      </c>
      <c r="K111" s="4">
        <v>0.08</v>
      </c>
      <c r="L111" s="4">
        <v>0</v>
      </c>
      <c r="M111" s="5">
        <v>954987</v>
      </c>
      <c r="N111" s="5">
        <v>78618</v>
      </c>
      <c r="O111" s="5">
        <v>261300.63</v>
      </c>
      <c r="P111" s="5">
        <v>374905</v>
      </c>
      <c r="Q111" s="4">
        <v>8.2000000000000003E-2</v>
      </c>
      <c r="R111" s="4">
        <v>0.30099999999999999</v>
      </c>
      <c r="S111" s="18">
        <v>3.6549999999999998</v>
      </c>
      <c r="T111" s="10">
        <v>0</v>
      </c>
      <c r="U111" s="10">
        <v>0</v>
      </c>
      <c r="V111" s="11">
        <v>0</v>
      </c>
      <c r="W111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11" s="3">
        <f>MONTH(raceday_22_23[[#This Row],[Raceday Date]])</f>
        <v>12</v>
      </c>
      <c r="Y11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1" s="3" t="str">
        <f>raceday_22_23[[#This Row],[Raceday Date]]&amp;raceday_22_23[[#This Row],[Club]]</f>
        <v>45646Auckland Trotting Club Inc</v>
      </c>
      <c r="AA111" s="5">
        <f>0.03*raceday_22_23[[#This Row],[Export TO (AUD)]]</f>
        <v>11247.15</v>
      </c>
      <c r="AB111" s="5">
        <f>_xlfn.XLOOKUP(raceday_22_23[[#This Row],[Helper]],'Betcha Integrated'!A:A,'Betcha Integrated'!F:F, 0)</f>
        <v>1013745.5071999989</v>
      </c>
      <c r="AC111" s="5">
        <f>_xlfn.XLOOKUP(raceday_22_23[[#This Row],[Helper]],'Betcha Integrated'!A:A,'Betcha Integrated'!G:G, 0)</f>
        <v>76305.807199999908</v>
      </c>
      <c r="AD111" s="5">
        <f>raceday_22_23[[#This Row],[Export Earned]]+raceday_22_23[[#This Row],[Betcha Inc. GBR]]</f>
        <v>87552.957199999903</v>
      </c>
      <c r="AE111" s="88">
        <f>ROUND(raceday_22_23[[#This Row],[Fav. Win %]]*raceday_22_23[[#This Row],[Races]], 0)</f>
        <v>4</v>
      </c>
    </row>
    <row r="112" spans="1:31" x14ac:dyDescent="0.3">
      <c r="A112" s="8">
        <v>45648</v>
      </c>
      <c r="B112" s="3" t="s">
        <v>82</v>
      </c>
      <c r="C112" s="3" t="s">
        <v>86</v>
      </c>
      <c r="D112" s="3" t="s">
        <v>81</v>
      </c>
      <c r="E112" s="3">
        <v>11</v>
      </c>
      <c r="F112" s="3">
        <v>114</v>
      </c>
      <c r="G112" s="3">
        <v>10.4</v>
      </c>
      <c r="H112" s="4">
        <v>0.27300000000000002</v>
      </c>
      <c r="I112" s="5">
        <v>121694</v>
      </c>
      <c r="J112" s="5">
        <v>11063</v>
      </c>
      <c r="K112" s="4">
        <v>1.216</v>
      </c>
      <c r="L112" s="4">
        <v>0</v>
      </c>
      <c r="M112" s="5">
        <v>1057186</v>
      </c>
      <c r="N112" s="5">
        <v>148029</v>
      </c>
      <c r="O112" s="5">
        <v>151483.99</v>
      </c>
      <c r="P112" s="5">
        <v>285011</v>
      </c>
      <c r="Q112" s="4">
        <v>0.14000000000000001</v>
      </c>
      <c r="R112" s="4">
        <v>0.97699999999999998</v>
      </c>
      <c r="S112" s="18">
        <v>6.9790000000000001</v>
      </c>
      <c r="T112" s="10">
        <v>785786</v>
      </c>
      <c r="U112" s="10">
        <v>82172</v>
      </c>
      <c r="V112" s="11">
        <v>0.105</v>
      </c>
      <c r="W112" s="12">
        <f>IF(raceday_22_23[[#This Row],[Last Year Turnover]]=0, "No Corresponding PY Meeting", (raceday_22_23[[#This Row],[Betcha Inc. TO]]-raceday_22_23[[#This Row],[Last Year Turnover]])/raceday_22_23[[#This Row],[Last Year Turnover]])</f>
        <v>0.41649259136711408</v>
      </c>
      <c r="X112" s="3">
        <f>MONTH(raceday_22_23[[#This Row],[Raceday Date]])</f>
        <v>12</v>
      </c>
      <c r="Y11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2" s="3" t="str">
        <f>raceday_22_23[[#This Row],[Raceday Date]]&amp;raceday_22_23[[#This Row],[Club]]</f>
        <v>45648Ashburton Trotting Club Inc</v>
      </c>
      <c r="AA112" s="5">
        <f>0.03*raceday_22_23[[#This Row],[Export TO (AUD)]]</f>
        <v>8550.33</v>
      </c>
      <c r="AB112" s="5">
        <f>_xlfn.XLOOKUP(raceday_22_23[[#This Row],[Helper]],'Betcha Integrated'!A:A,'Betcha Integrated'!F:F, 0)</f>
        <v>1113060.0473999991</v>
      </c>
      <c r="AC112" s="5">
        <f>_xlfn.XLOOKUP(raceday_22_23[[#This Row],[Helper]],'Betcha Integrated'!A:A,'Betcha Integrated'!G:G, 0)</f>
        <v>151959.5124999999</v>
      </c>
      <c r="AD112" s="5">
        <f>raceday_22_23[[#This Row],[Export Earned]]+raceday_22_23[[#This Row],[Betcha Inc. GBR]]</f>
        <v>160509.84249999988</v>
      </c>
      <c r="AE112" s="88">
        <f>ROUND(raceday_22_23[[#This Row],[Fav. Win %]]*raceday_22_23[[#This Row],[Races]], 0)</f>
        <v>3</v>
      </c>
    </row>
    <row r="113" spans="1:31" x14ac:dyDescent="0.3">
      <c r="A113" s="8">
        <v>45650</v>
      </c>
      <c r="B113" s="3" t="s">
        <v>83</v>
      </c>
      <c r="C113" s="3" t="s">
        <v>84</v>
      </c>
      <c r="D113" s="3" t="s">
        <v>79</v>
      </c>
      <c r="E113" s="3">
        <v>10</v>
      </c>
      <c r="F113" s="3">
        <v>88</v>
      </c>
      <c r="G113" s="3">
        <v>8.8000000000000007</v>
      </c>
      <c r="H113" s="4">
        <v>0.5</v>
      </c>
      <c r="I113" s="5">
        <v>155988</v>
      </c>
      <c r="J113" s="5">
        <v>15599</v>
      </c>
      <c r="K113" s="4">
        <v>0.874</v>
      </c>
      <c r="L113" s="4">
        <v>0.1</v>
      </c>
      <c r="M113" s="5">
        <v>841725</v>
      </c>
      <c r="N113" s="5">
        <v>136343</v>
      </c>
      <c r="O113" s="5">
        <v>181278.74</v>
      </c>
      <c r="P113" s="5">
        <v>349575</v>
      </c>
      <c r="Q113" s="4">
        <v>0.16200000000000001</v>
      </c>
      <c r="R113" s="4">
        <v>0.752</v>
      </c>
      <c r="S113" s="18">
        <v>4.6429999999999998</v>
      </c>
      <c r="T113" s="10">
        <v>687493</v>
      </c>
      <c r="U113" s="10">
        <v>133765</v>
      </c>
      <c r="V113" s="11">
        <v>0.19500000000000001</v>
      </c>
      <c r="W113" s="12">
        <f>IF(raceday_22_23[[#This Row],[Last Year Turnover]]=0, "No Corresponding PY Meeting", (raceday_22_23[[#This Row],[Betcha Inc. TO]]-raceday_22_23[[#This Row],[Last Year Turnover]])/raceday_22_23[[#This Row],[Last Year Turnover]])</f>
        <v>0.31601099153009415</v>
      </c>
      <c r="X113" s="3">
        <f>MONTH(raceday_22_23[[#This Row],[Raceday Date]])</f>
        <v>12</v>
      </c>
      <c r="Y11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3" s="3" t="str">
        <f>raceday_22_23[[#This Row],[Raceday Date]]&amp;raceday_22_23[[#This Row],[Club]]</f>
        <v>45650Waikato Bay of Plenty Harness Inc</v>
      </c>
      <c r="AA113" s="5">
        <f>0.03*raceday_22_23[[#This Row],[Export TO (AUD)]]</f>
        <v>10487.25</v>
      </c>
      <c r="AB113" s="5">
        <f>_xlfn.XLOOKUP(raceday_22_23[[#This Row],[Helper]],'Betcha Integrated'!A:A,'Betcha Integrated'!F:F, 0)</f>
        <v>904748.34459999902</v>
      </c>
      <c r="AC113" s="5">
        <f>_xlfn.XLOOKUP(raceday_22_23[[#This Row],[Helper]],'Betcha Integrated'!A:A,'Betcha Integrated'!G:G, 0)</f>
        <v>138541.48119999989</v>
      </c>
      <c r="AD113" s="5">
        <f>raceday_22_23[[#This Row],[Export Earned]]+raceday_22_23[[#This Row],[Betcha Inc. GBR]]</f>
        <v>149028.73119999989</v>
      </c>
      <c r="AE113" s="88">
        <f>ROUND(raceday_22_23[[#This Row],[Fav. Win %]]*raceday_22_23[[#This Row],[Races]], 0)</f>
        <v>5</v>
      </c>
    </row>
    <row r="114" spans="1:31" x14ac:dyDescent="0.3">
      <c r="A114" s="8">
        <v>45652</v>
      </c>
      <c r="B114" s="3" t="s">
        <v>74</v>
      </c>
      <c r="C114" s="3" t="s">
        <v>105</v>
      </c>
      <c r="D114" s="3" t="s">
        <v>81</v>
      </c>
      <c r="E114" s="3">
        <v>12</v>
      </c>
      <c r="F114" s="3">
        <v>131</v>
      </c>
      <c r="G114" s="3">
        <v>10.9</v>
      </c>
      <c r="H114" s="4">
        <v>0.25</v>
      </c>
      <c r="I114" s="5">
        <v>156553</v>
      </c>
      <c r="J114" s="5">
        <v>13046</v>
      </c>
      <c r="K114" s="4">
        <v>1.546</v>
      </c>
      <c r="L114" s="4">
        <v>0.25</v>
      </c>
      <c r="M114" s="5">
        <v>1540331</v>
      </c>
      <c r="N114" s="5">
        <v>242036</v>
      </c>
      <c r="O114" s="5">
        <v>195774.17</v>
      </c>
      <c r="P114" s="5">
        <v>435749</v>
      </c>
      <c r="Q114" s="4">
        <v>0.157</v>
      </c>
      <c r="R114" s="4">
        <v>1.236</v>
      </c>
      <c r="S114" s="18">
        <v>7.8680000000000003</v>
      </c>
      <c r="T114" s="10">
        <v>1498036</v>
      </c>
      <c r="U114" s="10">
        <v>307330</v>
      </c>
      <c r="V114" s="11">
        <v>0.20499999999999999</v>
      </c>
      <c r="W114" s="12">
        <f>IF(raceday_22_23[[#This Row],[Last Year Turnover]]=0, "No Corresponding PY Meeting", (raceday_22_23[[#This Row],[Betcha Inc. TO]]-raceday_22_23[[#This Row],[Last Year Turnover]])/raceday_22_23[[#This Row],[Last Year Turnover]])</f>
        <v>6.9361909727135379E-2</v>
      </c>
      <c r="X114" s="3">
        <f>MONTH(raceday_22_23[[#This Row],[Raceday Date]])</f>
        <v>12</v>
      </c>
      <c r="Y11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4" s="3" t="str">
        <f>raceday_22_23[[#This Row],[Raceday Date]]&amp;raceday_22_23[[#This Row],[Club]]</f>
        <v>45652Westport Trotting Club Inc</v>
      </c>
      <c r="AA114" s="5">
        <f>0.03*raceday_22_23[[#This Row],[Export TO (AUD)]]</f>
        <v>13072.47</v>
      </c>
      <c r="AB114" s="5">
        <f>_xlfn.XLOOKUP(raceday_22_23[[#This Row],[Helper]],'Betcha Integrated'!A:A,'Betcha Integrated'!F:F, 0)</f>
        <v>1601942.637799999</v>
      </c>
      <c r="AC114" s="5">
        <f>_xlfn.XLOOKUP(raceday_22_23[[#This Row],[Helper]],'Betcha Integrated'!A:A,'Betcha Integrated'!G:G, 0)</f>
        <v>258457.36649999901</v>
      </c>
      <c r="AD114" s="5">
        <f>raceday_22_23[[#This Row],[Export Earned]]+raceday_22_23[[#This Row],[Betcha Inc. GBR]]</f>
        <v>271529.83649999899</v>
      </c>
      <c r="AE114" s="88">
        <f>ROUND(raceday_22_23[[#This Row],[Fav. Win %]]*raceday_22_23[[#This Row],[Races]], 0)</f>
        <v>3</v>
      </c>
    </row>
    <row r="115" spans="1:31" x14ac:dyDescent="0.3">
      <c r="A115" s="8">
        <v>45653</v>
      </c>
      <c r="B115" s="3" t="s">
        <v>77</v>
      </c>
      <c r="C115" s="3" t="s">
        <v>88</v>
      </c>
      <c r="D115" s="3" t="s">
        <v>76</v>
      </c>
      <c r="E115" s="3">
        <v>12</v>
      </c>
      <c r="F115" s="3">
        <v>145</v>
      </c>
      <c r="G115" s="3">
        <v>12.1</v>
      </c>
      <c r="H115" s="4">
        <v>0.58299999999999996</v>
      </c>
      <c r="I115" s="5">
        <v>183642</v>
      </c>
      <c r="J115" s="5">
        <v>15304</v>
      </c>
      <c r="K115" s="4">
        <v>1.1559999999999999</v>
      </c>
      <c r="L115" s="4">
        <v>0.25</v>
      </c>
      <c r="M115" s="5">
        <v>1308644</v>
      </c>
      <c r="N115" s="5">
        <v>212380</v>
      </c>
      <c r="O115" s="5">
        <v>214434.5</v>
      </c>
      <c r="P115" s="5">
        <v>386521</v>
      </c>
      <c r="Q115" s="4">
        <v>0.16200000000000001</v>
      </c>
      <c r="R115" s="4">
        <v>0.99</v>
      </c>
      <c r="S115" s="18">
        <v>6.1029999999999998</v>
      </c>
      <c r="T115" s="10">
        <v>1287717</v>
      </c>
      <c r="U115" s="10">
        <v>312094</v>
      </c>
      <c r="V115" s="11">
        <v>0.24199999999999999</v>
      </c>
      <c r="W115" s="12">
        <f>IF(raceday_22_23[[#This Row],[Last Year Turnover]]=0, "No Corresponding PY Meeting", (raceday_22_23[[#This Row],[Betcha Inc. TO]]-raceday_22_23[[#This Row],[Last Year Turnover]])/raceday_22_23[[#This Row],[Last Year Turnover]])</f>
        <v>6.2550589065764592E-2</v>
      </c>
      <c r="X115" s="3">
        <f>MONTH(raceday_22_23[[#This Row],[Raceday Date]])</f>
        <v>12</v>
      </c>
      <c r="Y11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5" s="3" t="str">
        <f>raceday_22_23[[#This Row],[Raceday Date]]&amp;raceday_22_23[[#This Row],[Club]]</f>
        <v>45653Gore Harness Racing Club Inc</v>
      </c>
      <c r="AA115" s="5">
        <f>0.03*raceday_22_23[[#This Row],[Export TO (AUD)]]</f>
        <v>11595.63</v>
      </c>
      <c r="AB115" s="5">
        <f>_xlfn.XLOOKUP(raceday_22_23[[#This Row],[Helper]],'Betcha Integrated'!A:A,'Betcha Integrated'!F:F, 0)</f>
        <v>1368264.4568999992</v>
      </c>
      <c r="AC115" s="5">
        <f>_xlfn.XLOOKUP(raceday_22_23[[#This Row],[Helper]],'Betcha Integrated'!A:A,'Betcha Integrated'!G:G, 0)</f>
        <v>221415.31379999901</v>
      </c>
      <c r="AD115" s="5">
        <f>raceday_22_23[[#This Row],[Export Earned]]+raceday_22_23[[#This Row],[Betcha Inc. GBR]]</f>
        <v>233010.94379999902</v>
      </c>
      <c r="AE115" s="88">
        <f>ROUND(raceday_22_23[[#This Row],[Fav. Win %]]*raceday_22_23[[#This Row],[Races]], 0)</f>
        <v>7</v>
      </c>
    </row>
    <row r="116" spans="1:31" x14ac:dyDescent="0.3">
      <c r="A116" s="8">
        <v>45654</v>
      </c>
      <c r="B116" s="3" t="s">
        <v>93</v>
      </c>
      <c r="C116" s="3" t="s">
        <v>105</v>
      </c>
      <c r="D116" s="3" t="s">
        <v>81</v>
      </c>
      <c r="E116" s="3">
        <v>12</v>
      </c>
      <c r="F116" s="3">
        <v>120</v>
      </c>
      <c r="G116" s="3">
        <v>10</v>
      </c>
      <c r="H116" s="4">
        <v>0.41699999999999998</v>
      </c>
      <c r="I116" s="5">
        <v>151735</v>
      </c>
      <c r="J116" s="5">
        <v>12645</v>
      </c>
      <c r="K116" s="4">
        <v>1.234</v>
      </c>
      <c r="L116" s="4">
        <v>0.16700000000000001</v>
      </c>
      <c r="M116" s="5">
        <v>1056676</v>
      </c>
      <c r="N116" s="5">
        <v>187182</v>
      </c>
      <c r="O116" s="5">
        <v>190746.67</v>
      </c>
      <c r="P116" s="5">
        <v>295554</v>
      </c>
      <c r="Q116" s="4">
        <v>0.17699999999999999</v>
      </c>
      <c r="R116" s="4">
        <v>0.98099999999999998</v>
      </c>
      <c r="S116" s="18">
        <v>5.54</v>
      </c>
      <c r="T116" s="10">
        <v>1136920</v>
      </c>
      <c r="U116" s="10">
        <v>199308</v>
      </c>
      <c r="V116" s="11">
        <v>0.17499999999999999</v>
      </c>
      <c r="W116" s="12">
        <f>IF(raceday_22_23[[#This Row],[Last Year Turnover]]=0, "No Corresponding PY Meeting", (raceday_22_23[[#This Row],[Betcha Inc. TO]]-raceday_22_23[[#This Row],[Last Year Turnover]])/raceday_22_23[[#This Row],[Last Year Turnover]])</f>
        <v>-3.3976113358900314E-2</v>
      </c>
      <c r="X116" s="3">
        <f>MONTH(raceday_22_23[[#This Row],[Raceday Date]])</f>
        <v>12</v>
      </c>
      <c r="Y11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6" s="3" t="str">
        <f>raceday_22_23[[#This Row],[Raceday Date]]&amp;raceday_22_23[[#This Row],[Club]]</f>
        <v>45654Westport Trotting Club Inc</v>
      </c>
      <c r="AA116" s="5">
        <f>0.03*raceday_22_23[[#This Row],[Export TO (AUD)]]</f>
        <v>8866.619999999999</v>
      </c>
      <c r="AB116" s="5">
        <f>_xlfn.XLOOKUP(raceday_22_23[[#This Row],[Helper]],'Betcha Integrated'!A:A,'Betcha Integrated'!F:F, 0)</f>
        <v>1098291.8771999991</v>
      </c>
      <c r="AC116" s="5">
        <f>_xlfn.XLOOKUP(raceday_22_23[[#This Row],[Helper]],'Betcha Integrated'!A:A,'Betcha Integrated'!G:G, 0)</f>
        <v>191864.09499999898</v>
      </c>
      <c r="AD116" s="5">
        <f>raceday_22_23[[#This Row],[Export Earned]]+raceday_22_23[[#This Row],[Betcha Inc. GBR]]</f>
        <v>200730.71499999898</v>
      </c>
      <c r="AE116" s="88">
        <f>ROUND(raceday_22_23[[#This Row],[Fav. Win %]]*raceday_22_23[[#This Row],[Races]], 0)</f>
        <v>5</v>
      </c>
    </row>
    <row r="117" spans="1:31" x14ac:dyDescent="0.3">
      <c r="A117" s="8">
        <v>45655</v>
      </c>
      <c r="B117" s="3" t="s">
        <v>82</v>
      </c>
      <c r="C117" s="3" t="s">
        <v>94</v>
      </c>
      <c r="D117" s="3" t="s">
        <v>81</v>
      </c>
      <c r="E117" s="3">
        <v>12</v>
      </c>
      <c r="F117" s="3">
        <v>160</v>
      </c>
      <c r="G117" s="3">
        <v>13.3</v>
      </c>
      <c r="H117" s="4">
        <v>0.16700000000000001</v>
      </c>
      <c r="I117" s="5">
        <v>161397</v>
      </c>
      <c r="J117" s="5">
        <v>13450</v>
      </c>
      <c r="K117" s="4">
        <v>1.8819999999999999</v>
      </c>
      <c r="L117" s="4">
        <v>0.41699999999999998</v>
      </c>
      <c r="M117" s="5">
        <v>1571659</v>
      </c>
      <c r="N117" s="5">
        <v>303709</v>
      </c>
      <c r="O117" s="5">
        <v>206534.08</v>
      </c>
      <c r="P117" s="5">
        <v>367185</v>
      </c>
      <c r="Q117" s="4">
        <v>0.193</v>
      </c>
      <c r="R117" s="4">
        <v>1.4710000000000001</v>
      </c>
      <c r="S117" s="18">
        <v>7.61</v>
      </c>
      <c r="T117" s="10">
        <v>1853625</v>
      </c>
      <c r="U117" s="10">
        <v>271303</v>
      </c>
      <c r="V117" s="11">
        <v>0.14599999999999999</v>
      </c>
      <c r="W117" s="12">
        <f>IF(raceday_22_23[[#This Row],[Last Year Turnover]]=0, "No Corresponding PY Meeting", (raceday_22_23[[#This Row],[Betcha Inc. TO]]-raceday_22_23[[#This Row],[Last Year Turnover]])/raceday_22_23[[#This Row],[Last Year Turnover]])</f>
        <v>-0.12090600099804488</v>
      </c>
      <c r="X117" s="3">
        <f>MONTH(raceday_22_23[[#This Row],[Raceday Date]])</f>
        <v>12</v>
      </c>
      <c r="Y11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7" s="3" t="str">
        <f>raceday_22_23[[#This Row],[Raceday Date]]&amp;raceday_22_23[[#This Row],[Club]]</f>
        <v>45655Banks Peninsula Trotting Club Inc</v>
      </c>
      <c r="AA117" s="5">
        <f>0.03*raceday_22_23[[#This Row],[Export TO (AUD)]]</f>
        <v>11015.55</v>
      </c>
      <c r="AB117" s="5">
        <f>_xlfn.XLOOKUP(raceday_22_23[[#This Row],[Helper]],'Betcha Integrated'!A:A,'Betcha Integrated'!F:F, 0)</f>
        <v>1629510.6138999991</v>
      </c>
      <c r="AC117" s="5">
        <f>_xlfn.XLOOKUP(raceday_22_23[[#This Row],[Helper]],'Betcha Integrated'!A:A,'Betcha Integrated'!G:G, 0)</f>
        <v>316008.77969999902</v>
      </c>
      <c r="AD117" s="5">
        <f>raceday_22_23[[#This Row],[Export Earned]]+raceday_22_23[[#This Row],[Betcha Inc. GBR]]</f>
        <v>327024.32969999901</v>
      </c>
      <c r="AE117" s="88">
        <f>ROUND(raceday_22_23[[#This Row],[Fav. Win %]]*raceday_22_23[[#This Row],[Races]], 0)</f>
        <v>2</v>
      </c>
    </row>
    <row r="118" spans="1:31" x14ac:dyDescent="0.3">
      <c r="A118" s="8">
        <v>45656</v>
      </c>
      <c r="B118" s="3" t="s">
        <v>99</v>
      </c>
      <c r="C118" s="3" t="s">
        <v>106</v>
      </c>
      <c r="D118" s="3" t="s">
        <v>81</v>
      </c>
      <c r="E118" s="3">
        <v>12</v>
      </c>
      <c r="F118" s="3">
        <v>112</v>
      </c>
      <c r="G118" s="3">
        <v>9.3000000000000007</v>
      </c>
      <c r="H118" s="4">
        <v>0.41699999999999998</v>
      </c>
      <c r="I118" s="5">
        <v>157318</v>
      </c>
      <c r="J118" s="5">
        <v>13110</v>
      </c>
      <c r="K118" s="4">
        <v>1.4850000000000001</v>
      </c>
      <c r="L118" s="4">
        <v>0.33300000000000002</v>
      </c>
      <c r="M118" s="5">
        <v>1080837</v>
      </c>
      <c r="N118" s="5">
        <v>233596</v>
      </c>
      <c r="O118" s="5">
        <v>183717.74</v>
      </c>
      <c r="P118" s="5">
        <v>337520</v>
      </c>
      <c r="Q118" s="4">
        <v>0.216</v>
      </c>
      <c r="R118" s="4">
        <v>1.2709999999999999</v>
      </c>
      <c r="S118" s="18">
        <v>5.883</v>
      </c>
      <c r="T118" s="10">
        <v>1169248</v>
      </c>
      <c r="U118" s="10">
        <v>162137</v>
      </c>
      <c r="V118" s="11">
        <v>0.13900000000000001</v>
      </c>
      <c r="W118" s="12">
        <f>IF(raceday_22_23[[#This Row],[Last Year Turnover]]=0, "No Corresponding PY Meeting", (raceday_22_23[[#This Row],[Betcha Inc. TO]]-raceday_22_23[[#This Row],[Last Year Turnover]])/raceday_22_23[[#This Row],[Last Year Turnover]])</f>
        <v>-3.3503692971893984E-2</v>
      </c>
      <c r="X118" s="3">
        <f>MONTH(raceday_22_23[[#This Row],[Raceday Date]])</f>
        <v>12</v>
      </c>
      <c r="Y11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8" s="3" t="str">
        <f>raceday_22_23[[#This Row],[Raceday Date]]&amp;raceday_22_23[[#This Row],[Club]]</f>
        <v>45656Reefton Trotting Club Inc</v>
      </c>
      <c r="AA118" s="5">
        <f>0.03*raceday_22_23[[#This Row],[Export TO (AUD)]]</f>
        <v>10125.6</v>
      </c>
      <c r="AB118" s="5">
        <f>_xlfn.XLOOKUP(raceday_22_23[[#This Row],[Helper]],'Betcha Integrated'!A:A,'Betcha Integrated'!F:F, 0)</f>
        <v>1130073.8739999989</v>
      </c>
      <c r="AC118" s="5">
        <f>_xlfn.XLOOKUP(raceday_22_23[[#This Row],[Helper]],'Betcha Integrated'!A:A,'Betcha Integrated'!G:G, 0)</f>
        <v>243721.17709999991</v>
      </c>
      <c r="AD118" s="5">
        <f>raceday_22_23[[#This Row],[Export Earned]]+raceday_22_23[[#This Row],[Betcha Inc. GBR]]</f>
        <v>253846.77709999992</v>
      </c>
      <c r="AE118" s="88">
        <f>ROUND(raceday_22_23[[#This Row],[Fav. Win %]]*raceday_22_23[[#This Row],[Races]], 0)</f>
        <v>5</v>
      </c>
    </row>
    <row r="119" spans="1:31" x14ac:dyDescent="0.3">
      <c r="A119" s="8">
        <v>45657</v>
      </c>
      <c r="B119" s="3" t="s">
        <v>83</v>
      </c>
      <c r="C119" s="3" t="s">
        <v>78</v>
      </c>
      <c r="D119" s="3" t="s">
        <v>79</v>
      </c>
      <c r="E119" s="3">
        <v>10</v>
      </c>
      <c r="F119" s="3">
        <v>86</v>
      </c>
      <c r="G119" s="3">
        <v>8.6</v>
      </c>
      <c r="H119" s="4">
        <v>0.2</v>
      </c>
      <c r="I119" s="5">
        <v>576449</v>
      </c>
      <c r="J119" s="5">
        <v>57645</v>
      </c>
      <c r="K119" s="4">
        <v>0.60099999999999998</v>
      </c>
      <c r="L119" s="4">
        <v>0.4</v>
      </c>
      <c r="M119" s="5">
        <v>1418013</v>
      </c>
      <c r="N119" s="5">
        <v>346376</v>
      </c>
      <c r="O119" s="5">
        <v>602960.63</v>
      </c>
      <c r="P119" s="5">
        <v>435196</v>
      </c>
      <c r="Q119" s="4">
        <v>0.24399999999999999</v>
      </c>
      <c r="R119" s="4">
        <v>0.57399999999999995</v>
      </c>
      <c r="S119" s="18">
        <v>2.3519999999999999</v>
      </c>
      <c r="T119" s="10">
        <v>808562</v>
      </c>
      <c r="U119" s="10">
        <v>142163</v>
      </c>
      <c r="V119" s="11">
        <v>0.17599999999999999</v>
      </c>
      <c r="W119" s="12">
        <f>IF(raceday_22_23[[#This Row],[Last Year Turnover]]=0, "No Corresponding PY Meeting", (raceday_22_23[[#This Row],[Betcha Inc. TO]]-raceday_22_23[[#This Row],[Last Year Turnover]])/raceday_22_23[[#This Row],[Last Year Turnover]])</f>
        <v>0.84053082002369506</v>
      </c>
      <c r="X119" s="3">
        <f>MONTH(raceday_22_23[[#This Row],[Raceday Date]])</f>
        <v>12</v>
      </c>
      <c r="Y11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19" s="3" t="str">
        <f>raceday_22_23[[#This Row],[Raceday Date]]&amp;raceday_22_23[[#This Row],[Club]]</f>
        <v>45657Auckland Trotting Club Inc</v>
      </c>
      <c r="AA119" s="5">
        <f>0.03*raceday_22_23[[#This Row],[Export TO (AUD)]]</f>
        <v>13055.88</v>
      </c>
      <c r="AB119" s="5">
        <f>_xlfn.XLOOKUP(raceday_22_23[[#This Row],[Helper]],'Betcha Integrated'!A:A,'Betcha Integrated'!F:F, 0)</f>
        <v>1488183.280899999</v>
      </c>
      <c r="AC119" s="5">
        <f>_xlfn.XLOOKUP(raceday_22_23[[#This Row],[Helper]],'Betcha Integrated'!A:A,'Betcha Integrated'!G:G, 0)</f>
        <v>376958.02199999901</v>
      </c>
      <c r="AD119" s="5">
        <f>raceday_22_23[[#This Row],[Export Earned]]+raceday_22_23[[#This Row],[Betcha Inc. GBR]]</f>
        <v>390013.90199999901</v>
      </c>
      <c r="AE119" s="88">
        <f>ROUND(raceday_22_23[[#This Row],[Fav. Win %]]*raceday_22_23[[#This Row],[Races]], 0)</f>
        <v>2</v>
      </c>
    </row>
    <row r="120" spans="1:31" x14ac:dyDescent="0.3">
      <c r="A120" s="8">
        <v>45658</v>
      </c>
      <c r="B120" s="3" t="s">
        <v>96</v>
      </c>
      <c r="C120" s="3" t="s">
        <v>89</v>
      </c>
      <c r="D120" s="3" t="s">
        <v>81</v>
      </c>
      <c r="E120" s="3">
        <v>10</v>
      </c>
      <c r="F120" s="3">
        <v>88</v>
      </c>
      <c r="G120" s="3">
        <v>8.8000000000000007</v>
      </c>
      <c r="H120" s="4">
        <v>0.5</v>
      </c>
      <c r="I120" s="5">
        <v>108525</v>
      </c>
      <c r="J120" s="5">
        <v>10852</v>
      </c>
      <c r="K120" s="4">
        <v>1.2290000000000001</v>
      </c>
      <c r="L120" s="4">
        <v>0</v>
      </c>
      <c r="M120" s="5">
        <v>771518</v>
      </c>
      <c r="N120" s="5">
        <v>133423</v>
      </c>
      <c r="O120" s="5">
        <v>141412</v>
      </c>
      <c r="P120" s="5">
        <v>233638</v>
      </c>
      <c r="Q120" s="4">
        <v>0.17299999999999999</v>
      </c>
      <c r="R120" s="4">
        <v>0.94399999999999995</v>
      </c>
      <c r="S120" s="18">
        <v>5.4560000000000004</v>
      </c>
      <c r="T120" s="10">
        <v>1007021</v>
      </c>
      <c r="U120" s="10">
        <v>149298</v>
      </c>
      <c r="V120" s="11">
        <v>0.14799999999999999</v>
      </c>
      <c r="W120" s="12">
        <f>IF(raceday_22_23[[#This Row],[Last Year Turnover]]=0, "No Corresponding PY Meeting", (raceday_22_23[[#This Row],[Betcha Inc. TO]]-raceday_22_23[[#This Row],[Last Year Turnover]])/raceday_22_23[[#This Row],[Last Year Turnover]])</f>
        <v>-0.19631455073926071</v>
      </c>
      <c r="X120" s="3">
        <f>MONTH(raceday_22_23[[#This Row],[Raceday Date]])</f>
        <v>1</v>
      </c>
      <c r="Y12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0" s="3" t="str">
        <f>raceday_22_23[[#This Row],[Raceday Date]]&amp;raceday_22_23[[#This Row],[Club]]</f>
        <v>45658Rangiora Harness Racing Club Inc</v>
      </c>
      <c r="AA120" s="5">
        <f>0.03*raceday_22_23[[#This Row],[Export TO (AUD)]]</f>
        <v>7009.1399999999994</v>
      </c>
      <c r="AB120" s="5">
        <f>_xlfn.XLOOKUP(raceday_22_23[[#This Row],[Helper]],'Betcha Integrated'!A:A,'Betcha Integrated'!F:F, 0)</f>
        <v>809328.12479999894</v>
      </c>
      <c r="AC120" s="5">
        <f>_xlfn.XLOOKUP(raceday_22_23[[#This Row],[Helper]],'Betcha Integrated'!A:A,'Betcha Integrated'!G:G, 0)</f>
        <v>139226.7001999999</v>
      </c>
      <c r="AD120" s="5">
        <f>raceday_22_23[[#This Row],[Export Earned]]+raceday_22_23[[#This Row],[Betcha Inc. GBR]]</f>
        <v>146235.84019999992</v>
      </c>
      <c r="AE120" s="88">
        <f>ROUND(raceday_22_23[[#This Row],[Fav. Win %]]*raceday_22_23[[#This Row],[Races]], 0)</f>
        <v>5</v>
      </c>
    </row>
    <row r="121" spans="1:31" x14ac:dyDescent="0.3">
      <c r="A121" s="8">
        <v>45659</v>
      </c>
      <c r="B121" s="3" t="s">
        <v>74</v>
      </c>
      <c r="C121" s="3" t="s">
        <v>107</v>
      </c>
      <c r="D121" s="3" t="s">
        <v>76</v>
      </c>
      <c r="E121" s="3">
        <v>11</v>
      </c>
      <c r="F121" s="3">
        <v>109</v>
      </c>
      <c r="G121" s="3">
        <v>9.9</v>
      </c>
      <c r="H121" s="4">
        <v>0.36399999999999999</v>
      </c>
      <c r="I121" s="5">
        <v>182254</v>
      </c>
      <c r="J121" s="5">
        <v>16569</v>
      </c>
      <c r="K121" s="4">
        <v>1.389</v>
      </c>
      <c r="L121" s="4">
        <v>0</v>
      </c>
      <c r="M121" s="5">
        <v>1385164</v>
      </c>
      <c r="N121" s="5">
        <v>253197</v>
      </c>
      <c r="O121" s="5">
        <v>242872.75</v>
      </c>
      <c r="P121" s="5">
        <v>289931</v>
      </c>
      <c r="Q121" s="4">
        <v>0.183</v>
      </c>
      <c r="R121" s="4">
        <v>1.0429999999999999</v>
      </c>
      <c r="S121" s="18">
        <v>5.7030000000000003</v>
      </c>
      <c r="T121" s="10">
        <v>1395772</v>
      </c>
      <c r="U121" s="10">
        <v>298843</v>
      </c>
      <c r="V121" s="11">
        <v>0.214</v>
      </c>
      <c r="W121" s="12">
        <f>IF(raceday_22_23[[#This Row],[Last Year Turnover]]=0, "No Corresponding PY Meeting", (raceday_22_23[[#This Row],[Betcha Inc. TO]]-raceday_22_23[[#This Row],[Last Year Turnover]])/raceday_22_23[[#This Row],[Last Year Turnover]])</f>
        <v>2.804442308629217E-2</v>
      </c>
      <c r="X121" s="3">
        <f>MONTH(raceday_22_23[[#This Row],[Raceday Date]])</f>
        <v>1</v>
      </c>
      <c r="Y12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1" s="3" t="str">
        <f>raceday_22_23[[#This Row],[Raceday Date]]&amp;raceday_22_23[[#This Row],[Club]]</f>
        <v>45659Central Otago Trotting Club Inc</v>
      </c>
      <c r="AA121" s="5">
        <f>0.03*raceday_22_23[[#This Row],[Export TO (AUD)]]</f>
        <v>8697.93</v>
      </c>
      <c r="AB121" s="5">
        <f>_xlfn.XLOOKUP(raceday_22_23[[#This Row],[Helper]],'Betcha Integrated'!A:A,'Betcha Integrated'!F:F, 0)</f>
        <v>1434915.6205000002</v>
      </c>
      <c r="AC121" s="5">
        <f>_xlfn.XLOOKUP(raceday_22_23[[#This Row],[Helper]],'Betcha Integrated'!A:A,'Betcha Integrated'!G:G, 0)</f>
        <v>260354.22959999999</v>
      </c>
      <c r="AD121" s="5">
        <f>raceday_22_23[[#This Row],[Export Earned]]+raceday_22_23[[#This Row],[Betcha Inc. GBR]]</f>
        <v>269052.15960000001</v>
      </c>
      <c r="AE121" s="88">
        <f>ROUND(raceday_22_23[[#This Row],[Fav. Win %]]*raceday_22_23[[#This Row],[Races]], 0)</f>
        <v>4</v>
      </c>
    </row>
    <row r="122" spans="1:31" x14ac:dyDescent="0.3">
      <c r="A122" s="8">
        <v>45659</v>
      </c>
      <c r="B122" s="3" t="s">
        <v>74</v>
      </c>
      <c r="C122" s="3" t="s">
        <v>108</v>
      </c>
      <c r="D122" s="3" t="s">
        <v>79</v>
      </c>
      <c r="E122" s="3">
        <v>4</v>
      </c>
      <c r="F122" s="3">
        <v>35</v>
      </c>
      <c r="G122" s="3">
        <v>8.8000000000000007</v>
      </c>
      <c r="H122" s="4">
        <v>0</v>
      </c>
      <c r="I122" s="5">
        <v>39612</v>
      </c>
      <c r="J122" s="5">
        <v>9903</v>
      </c>
      <c r="K122" s="4">
        <v>1.4350000000000001</v>
      </c>
      <c r="L122" s="4">
        <v>0.5</v>
      </c>
      <c r="M122" s="5">
        <v>195733</v>
      </c>
      <c r="N122" s="5">
        <v>56834</v>
      </c>
      <c r="O122" s="5">
        <v>59119.79</v>
      </c>
      <c r="P122" s="5">
        <v>57703</v>
      </c>
      <c r="Q122" s="4">
        <v>0.28999999999999998</v>
      </c>
      <c r="R122" s="4">
        <v>0.96099999999999997</v>
      </c>
      <c r="S122" s="18">
        <v>3.3109999999999999</v>
      </c>
      <c r="T122" s="10">
        <v>429625</v>
      </c>
      <c r="U122" s="10">
        <v>75915</v>
      </c>
      <c r="V122" s="11">
        <v>0.17699999999999999</v>
      </c>
      <c r="W122" s="12">
        <f>IF(raceday_22_23[[#This Row],[Last Year Turnover]]=0, "No Corresponding PY Meeting", (raceday_22_23[[#This Row],[Betcha Inc. TO]]-raceday_22_23[[#This Row],[Last Year Turnover]])/raceday_22_23[[#This Row],[Last Year Turnover]])</f>
        <v>-0.52084306173988948</v>
      </c>
      <c r="X122" s="3">
        <f>MONTH(raceday_22_23[[#This Row],[Raceday Date]])</f>
        <v>1</v>
      </c>
      <c r="Y12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2" s="3" t="str">
        <f>raceday_22_23[[#This Row],[Raceday Date]]&amp;raceday_22_23[[#This Row],[Club]]</f>
        <v>45659Wairarapa Harness Racing Club Inc</v>
      </c>
      <c r="AA122" s="5">
        <f>0.03*raceday_22_23[[#This Row],[Export TO (AUD)]]</f>
        <v>1731.09</v>
      </c>
      <c r="AB122" s="5">
        <f>_xlfn.XLOOKUP(raceday_22_23[[#This Row],[Helper]],'Betcha Integrated'!A:A,'Betcha Integrated'!F:F, 0)</f>
        <v>205857.7996</v>
      </c>
      <c r="AC122" s="5">
        <f>_xlfn.XLOOKUP(raceday_22_23[[#This Row],[Helper]],'Betcha Integrated'!A:A,'Betcha Integrated'!G:G, 0)</f>
        <v>60372.877399999998</v>
      </c>
      <c r="AD122" s="5">
        <f>raceday_22_23[[#This Row],[Export Earned]]+raceday_22_23[[#This Row],[Betcha Inc. GBR]]</f>
        <v>62103.967399999994</v>
      </c>
      <c r="AE122" s="88">
        <f>ROUND(raceday_22_23[[#This Row],[Fav. Win %]]*raceday_22_23[[#This Row],[Races]], 0)</f>
        <v>0</v>
      </c>
    </row>
    <row r="123" spans="1:31" x14ac:dyDescent="0.3">
      <c r="A123" s="8">
        <v>45660</v>
      </c>
      <c r="B123" s="3" t="s">
        <v>77</v>
      </c>
      <c r="C123" s="3" t="s">
        <v>84</v>
      </c>
      <c r="D123" s="3" t="s">
        <v>79</v>
      </c>
      <c r="E123" s="3">
        <v>9</v>
      </c>
      <c r="F123" s="3">
        <v>76</v>
      </c>
      <c r="G123" s="3">
        <v>8.4</v>
      </c>
      <c r="H123" s="4">
        <v>0.55600000000000005</v>
      </c>
      <c r="I123" s="5">
        <v>126599</v>
      </c>
      <c r="J123" s="5">
        <v>14067</v>
      </c>
      <c r="K123" s="4">
        <v>0.52500000000000002</v>
      </c>
      <c r="L123" s="4">
        <v>0.111</v>
      </c>
      <c r="M123" s="5">
        <v>593481</v>
      </c>
      <c r="N123" s="5">
        <v>66450</v>
      </c>
      <c r="O123" s="5">
        <v>151891.24</v>
      </c>
      <c r="P123" s="5">
        <v>312258</v>
      </c>
      <c r="Q123" s="4">
        <v>0.112</v>
      </c>
      <c r="R123" s="4">
        <v>0.437</v>
      </c>
      <c r="S123" s="18">
        <v>3.907</v>
      </c>
      <c r="T123" s="10">
        <v>0</v>
      </c>
      <c r="U123" s="10">
        <v>0</v>
      </c>
      <c r="V123" s="11">
        <v>0</v>
      </c>
      <c r="W12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23" s="3">
        <f>MONTH(raceday_22_23[[#This Row],[Raceday Date]])</f>
        <v>1</v>
      </c>
      <c r="Y12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3" s="3" t="str">
        <f>raceday_22_23[[#This Row],[Raceday Date]]&amp;raceday_22_23[[#This Row],[Club]]</f>
        <v>45660Waikato Bay of Plenty Harness Inc</v>
      </c>
      <c r="AA123" s="5">
        <f>0.03*raceday_22_23[[#This Row],[Export TO (AUD)]]</f>
        <v>9367.74</v>
      </c>
      <c r="AB123" s="5">
        <f>_xlfn.XLOOKUP(raceday_22_23[[#This Row],[Helper]],'Betcha Integrated'!A:A,'Betcha Integrated'!F:F, 0)</f>
        <v>636697.13609999907</v>
      </c>
      <c r="AC123" s="5">
        <f>_xlfn.XLOOKUP(raceday_22_23[[#This Row],[Helper]],'Betcha Integrated'!A:A,'Betcha Integrated'!G:G, 0)</f>
        <v>69264.389899999893</v>
      </c>
      <c r="AD123" s="5">
        <f>raceday_22_23[[#This Row],[Export Earned]]+raceday_22_23[[#This Row],[Betcha Inc. GBR]]</f>
        <v>78632.129899999898</v>
      </c>
      <c r="AE123" s="88">
        <f>ROUND(raceday_22_23[[#This Row],[Fav. Win %]]*raceday_22_23[[#This Row],[Races]], 0)</f>
        <v>5</v>
      </c>
    </row>
    <row r="124" spans="1:31" x14ac:dyDescent="0.3">
      <c r="A124" s="8">
        <v>45661</v>
      </c>
      <c r="B124" s="3" t="s">
        <v>93</v>
      </c>
      <c r="C124" s="3" t="s">
        <v>109</v>
      </c>
      <c r="D124" s="3" t="s">
        <v>76</v>
      </c>
      <c r="E124" s="3">
        <v>11</v>
      </c>
      <c r="F124" s="3">
        <v>107</v>
      </c>
      <c r="G124" s="3">
        <v>9.6999999999999993</v>
      </c>
      <c r="H124" s="4">
        <v>0.27300000000000002</v>
      </c>
      <c r="I124" s="5">
        <v>146806</v>
      </c>
      <c r="J124" s="5">
        <v>13346</v>
      </c>
      <c r="K124" s="4">
        <v>1.177</v>
      </c>
      <c r="L124" s="4">
        <v>0.182</v>
      </c>
      <c r="M124" s="5">
        <v>981874</v>
      </c>
      <c r="N124" s="5">
        <v>172842</v>
      </c>
      <c r="O124" s="5">
        <v>171689.92</v>
      </c>
      <c r="P124" s="5">
        <v>210194</v>
      </c>
      <c r="Q124" s="4">
        <v>0.17599999999999999</v>
      </c>
      <c r="R124" s="4">
        <v>1.0069999999999999</v>
      </c>
      <c r="S124" s="18">
        <v>5.7190000000000003</v>
      </c>
      <c r="T124" s="10">
        <v>1112994</v>
      </c>
      <c r="U124" s="10">
        <v>124699</v>
      </c>
      <c r="V124" s="11">
        <v>0.112</v>
      </c>
      <c r="W124" s="12">
        <f>IF(raceday_22_23[[#This Row],[Last Year Turnover]]=0, "No Corresponding PY Meeting", (raceday_22_23[[#This Row],[Betcha Inc. TO]]-raceday_22_23[[#This Row],[Last Year Turnover]])/raceday_22_23[[#This Row],[Last Year Turnover]])</f>
        <v>-8.8363709507868926E-2</v>
      </c>
      <c r="X124" s="3">
        <f>MONTH(raceday_22_23[[#This Row],[Raceday Date]])</f>
        <v>1</v>
      </c>
      <c r="Y12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4" s="3" t="str">
        <f>raceday_22_23[[#This Row],[Raceday Date]]&amp;raceday_22_23[[#This Row],[Club]]</f>
        <v>45661Roxburgh Trotting Club Inc</v>
      </c>
      <c r="AA124" s="5">
        <f>0.03*raceday_22_23[[#This Row],[Export TO (AUD)]]</f>
        <v>6305.82</v>
      </c>
      <c r="AB124" s="5">
        <f>_xlfn.XLOOKUP(raceday_22_23[[#This Row],[Helper]],'Betcha Integrated'!A:A,'Betcha Integrated'!F:F, 0)</f>
        <v>1014645.7214999989</v>
      </c>
      <c r="AC124" s="5">
        <f>_xlfn.XLOOKUP(raceday_22_23[[#This Row],[Helper]],'Betcha Integrated'!A:A,'Betcha Integrated'!G:G, 0)</f>
        <v>182303.7392999999</v>
      </c>
      <c r="AD124" s="5">
        <f>raceday_22_23[[#This Row],[Export Earned]]+raceday_22_23[[#This Row],[Betcha Inc. GBR]]</f>
        <v>188609.55929999991</v>
      </c>
      <c r="AE124" s="88">
        <f>ROUND(raceday_22_23[[#This Row],[Fav. Win %]]*raceday_22_23[[#This Row],[Races]], 0)</f>
        <v>3</v>
      </c>
    </row>
    <row r="125" spans="1:31" x14ac:dyDescent="0.3">
      <c r="A125" s="8">
        <v>45663</v>
      </c>
      <c r="B125" s="3" t="s">
        <v>99</v>
      </c>
      <c r="C125" s="3" t="s">
        <v>90</v>
      </c>
      <c r="D125" s="3" t="s">
        <v>76</v>
      </c>
      <c r="E125" s="3">
        <v>12</v>
      </c>
      <c r="F125" s="3">
        <v>129</v>
      </c>
      <c r="G125" s="3">
        <v>10.8</v>
      </c>
      <c r="H125" s="4">
        <v>0.16700000000000001</v>
      </c>
      <c r="I125" s="5">
        <v>152973</v>
      </c>
      <c r="J125" s="5">
        <v>12748</v>
      </c>
      <c r="K125" s="4">
        <v>1.661</v>
      </c>
      <c r="L125" s="4">
        <v>0</v>
      </c>
      <c r="M125" s="5">
        <v>1233704</v>
      </c>
      <c r="N125" s="5">
        <v>254071</v>
      </c>
      <c r="O125" s="5">
        <v>188359.2</v>
      </c>
      <c r="P125" s="5">
        <v>350934</v>
      </c>
      <c r="Q125" s="4">
        <v>0.20599999999999999</v>
      </c>
      <c r="R125" s="4">
        <v>1.349</v>
      </c>
      <c r="S125" s="18">
        <v>6.55</v>
      </c>
      <c r="T125" s="10">
        <v>1336768</v>
      </c>
      <c r="U125" s="10">
        <v>301488</v>
      </c>
      <c r="V125" s="11">
        <v>0.22600000000000001</v>
      </c>
      <c r="W125" s="12">
        <f>IF(raceday_22_23[[#This Row],[Last Year Turnover]]=0, "No Corresponding PY Meeting", (raceday_22_23[[#This Row],[Betcha Inc. TO]]-raceday_22_23[[#This Row],[Last Year Turnover]])/raceday_22_23[[#This Row],[Last Year Turnover]])</f>
        <v>-3.8472030524369892E-2</v>
      </c>
      <c r="X125" s="3">
        <f>MONTH(raceday_22_23[[#This Row],[Raceday Date]])</f>
        <v>1</v>
      </c>
      <c r="Y12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5" s="3" t="str">
        <f>raceday_22_23[[#This Row],[Raceday Date]]&amp;raceday_22_23[[#This Row],[Club]]</f>
        <v>45663Wyndham Harness Racing Club Inc</v>
      </c>
      <c r="AA125" s="5">
        <f>0.03*raceday_22_23[[#This Row],[Export TO (AUD)]]</f>
        <v>10528.02</v>
      </c>
      <c r="AB125" s="5">
        <f>_xlfn.XLOOKUP(raceday_22_23[[#This Row],[Helper]],'Betcha Integrated'!A:A,'Betcha Integrated'!F:F, 0)</f>
        <v>1285339.8206999991</v>
      </c>
      <c r="AC125" s="5">
        <f>_xlfn.XLOOKUP(raceday_22_23[[#This Row],[Helper]],'Betcha Integrated'!A:A,'Betcha Integrated'!G:G, 0)</f>
        <v>250390.40039999899</v>
      </c>
      <c r="AD125" s="5">
        <f>raceday_22_23[[#This Row],[Export Earned]]+raceday_22_23[[#This Row],[Betcha Inc. GBR]]</f>
        <v>260918.42039999898</v>
      </c>
      <c r="AE125" s="88">
        <f>ROUND(raceday_22_23[[#This Row],[Fav. Win %]]*raceday_22_23[[#This Row],[Races]], 0)</f>
        <v>2</v>
      </c>
    </row>
    <row r="126" spans="1:31" x14ac:dyDescent="0.3">
      <c r="A126" s="8">
        <v>45663</v>
      </c>
      <c r="B126" s="3" t="s">
        <v>99</v>
      </c>
      <c r="C126" s="3" t="s">
        <v>110</v>
      </c>
      <c r="D126" s="3" t="s">
        <v>79</v>
      </c>
      <c r="E126" s="3">
        <v>5</v>
      </c>
      <c r="F126" s="3">
        <v>44</v>
      </c>
      <c r="G126" s="3">
        <v>8.8000000000000007</v>
      </c>
      <c r="H126" s="4">
        <v>0.4</v>
      </c>
      <c r="I126" s="5">
        <v>49560</v>
      </c>
      <c r="J126" s="5">
        <v>9912</v>
      </c>
      <c r="K126" s="4">
        <v>0.379</v>
      </c>
      <c r="L126" s="4">
        <v>0</v>
      </c>
      <c r="M126" s="5">
        <v>135725</v>
      </c>
      <c r="N126" s="5">
        <v>18794</v>
      </c>
      <c r="O126" s="5">
        <v>68468.539999999994</v>
      </c>
      <c r="P126" s="5">
        <v>42757</v>
      </c>
      <c r="Q126" s="4">
        <v>0.13800000000000001</v>
      </c>
      <c r="R126" s="4">
        <v>0.27400000000000002</v>
      </c>
      <c r="S126" s="18">
        <v>1.982</v>
      </c>
      <c r="T126" s="10">
        <v>0</v>
      </c>
      <c r="U126" s="10">
        <v>0</v>
      </c>
      <c r="V126" s="11">
        <v>0</v>
      </c>
      <c r="W12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26" s="3">
        <f>MONTH(raceday_22_23[[#This Row],[Raceday Date]])</f>
        <v>1</v>
      </c>
      <c r="Y12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6" s="3" t="str">
        <f>raceday_22_23[[#This Row],[Raceday Date]]&amp;raceday_22_23[[#This Row],[Club]]</f>
        <v>45663Kapiti Coast Harness Racing Club Inc</v>
      </c>
      <c r="AA126" s="5">
        <f>0.03*raceday_22_23[[#This Row],[Export TO (AUD)]]</f>
        <v>1282.71</v>
      </c>
      <c r="AB126" s="5">
        <f>_xlfn.XLOOKUP(raceday_22_23[[#This Row],[Helper]],'Betcha Integrated'!A:A,'Betcha Integrated'!F:F, 0)</f>
        <v>141035.53009999989</v>
      </c>
      <c r="AC126" s="5">
        <f>_xlfn.XLOOKUP(raceday_22_23[[#This Row],[Helper]],'Betcha Integrated'!A:A,'Betcha Integrated'!G:G, 0)</f>
        <v>19156.452299999903</v>
      </c>
      <c r="AD126" s="5">
        <f>raceday_22_23[[#This Row],[Export Earned]]+raceday_22_23[[#This Row],[Betcha Inc. GBR]]</f>
        <v>20439.162299999902</v>
      </c>
      <c r="AE126" s="88">
        <f>ROUND(raceday_22_23[[#This Row],[Fav. Win %]]*raceday_22_23[[#This Row],[Races]], 0)</f>
        <v>2</v>
      </c>
    </row>
    <row r="127" spans="1:31" x14ac:dyDescent="0.3">
      <c r="A127" s="8">
        <v>45665</v>
      </c>
      <c r="B127" s="3" t="s">
        <v>96</v>
      </c>
      <c r="C127" s="3" t="s">
        <v>95</v>
      </c>
      <c r="D127" s="3" t="s">
        <v>81</v>
      </c>
      <c r="E127" s="3">
        <v>10</v>
      </c>
      <c r="F127" s="3">
        <v>114</v>
      </c>
      <c r="G127" s="3">
        <v>11.4</v>
      </c>
      <c r="H127" s="4">
        <v>0.3</v>
      </c>
      <c r="I127" s="5">
        <v>102002</v>
      </c>
      <c r="J127" s="5">
        <v>10200</v>
      </c>
      <c r="K127" s="4">
        <v>1.3660000000000001</v>
      </c>
      <c r="L127" s="4">
        <v>0.1</v>
      </c>
      <c r="M127" s="5">
        <v>828294</v>
      </c>
      <c r="N127" s="5">
        <v>139333</v>
      </c>
      <c r="O127" s="5">
        <v>121119.5</v>
      </c>
      <c r="P127" s="5">
        <v>337363</v>
      </c>
      <c r="Q127" s="4">
        <v>0.16800000000000001</v>
      </c>
      <c r="R127" s="4">
        <v>1.1499999999999999</v>
      </c>
      <c r="S127" s="18">
        <v>6.8390000000000004</v>
      </c>
      <c r="T127" s="10">
        <v>0</v>
      </c>
      <c r="U127" s="10">
        <v>0</v>
      </c>
      <c r="V127" s="11">
        <v>0</v>
      </c>
      <c r="W12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27" s="3">
        <f>MONTH(raceday_22_23[[#This Row],[Raceday Date]])</f>
        <v>1</v>
      </c>
      <c r="Y12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7" s="3" t="str">
        <f>raceday_22_23[[#This Row],[Raceday Date]]&amp;raceday_22_23[[#This Row],[Club]]</f>
        <v>45665Timaru Harness Racing Club Inc</v>
      </c>
      <c r="AA127" s="5">
        <f>0.03*raceday_22_23[[#This Row],[Export TO (AUD)]]</f>
        <v>10120.89</v>
      </c>
      <c r="AB127" s="5">
        <f>_xlfn.XLOOKUP(raceday_22_23[[#This Row],[Helper]],'Betcha Integrated'!A:A,'Betcha Integrated'!F:F, 0)</f>
        <v>859926.5736999989</v>
      </c>
      <c r="AC127" s="5">
        <f>_xlfn.XLOOKUP(raceday_22_23[[#This Row],[Helper]],'Betcha Integrated'!A:A,'Betcha Integrated'!G:G, 0)</f>
        <v>149289.80639999988</v>
      </c>
      <c r="AD127" s="5">
        <f>raceday_22_23[[#This Row],[Export Earned]]+raceday_22_23[[#This Row],[Betcha Inc. GBR]]</f>
        <v>159410.6963999999</v>
      </c>
      <c r="AE127" s="88">
        <f>ROUND(raceday_22_23[[#This Row],[Fav. Win %]]*raceday_22_23[[#This Row],[Races]], 0)</f>
        <v>3</v>
      </c>
    </row>
    <row r="128" spans="1:31" x14ac:dyDescent="0.3">
      <c r="A128" s="8">
        <v>45666</v>
      </c>
      <c r="B128" s="3" t="s">
        <v>74</v>
      </c>
      <c r="C128" s="3" t="s">
        <v>84</v>
      </c>
      <c r="D128" s="3" t="s">
        <v>79</v>
      </c>
      <c r="E128" s="3">
        <v>9</v>
      </c>
      <c r="F128" s="3">
        <v>82</v>
      </c>
      <c r="G128" s="3">
        <v>9.1</v>
      </c>
      <c r="H128" s="4">
        <v>0.66700000000000004</v>
      </c>
      <c r="I128" s="5">
        <v>179237</v>
      </c>
      <c r="J128" s="5">
        <v>19915</v>
      </c>
      <c r="K128" s="4">
        <v>0.28100000000000003</v>
      </c>
      <c r="L128" s="4">
        <v>0.111</v>
      </c>
      <c r="M128" s="5">
        <v>564091</v>
      </c>
      <c r="N128" s="5">
        <v>50384</v>
      </c>
      <c r="O128" s="5">
        <v>204423.74</v>
      </c>
      <c r="P128" s="5">
        <v>228003</v>
      </c>
      <c r="Q128" s="4">
        <v>8.8999999999999996E-2</v>
      </c>
      <c r="R128" s="4">
        <v>0.246</v>
      </c>
      <c r="S128" s="18">
        <v>2.7589999999999999</v>
      </c>
      <c r="T128" s="10">
        <v>0</v>
      </c>
      <c r="U128" s="10">
        <v>0</v>
      </c>
      <c r="V128" s="11">
        <v>0</v>
      </c>
      <c r="W12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28" s="3">
        <f>MONTH(raceday_22_23[[#This Row],[Raceday Date]])</f>
        <v>1</v>
      </c>
      <c r="Y12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8" s="3" t="str">
        <f>raceday_22_23[[#This Row],[Raceday Date]]&amp;raceday_22_23[[#This Row],[Club]]</f>
        <v>45666Waikato Bay of Plenty Harness Inc</v>
      </c>
      <c r="AA128" s="5">
        <f>0.03*raceday_22_23[[#This Row],[Export TO (AUD)]]</f>
        <v>6840.09</v>
      </c>
      <c r="AB128" s="5">
        <f>_xlfn.XLOOKUP(raceday_22_23[[#This Row],[Helper]],'Betcha Integrated'!A:A,'Betcha Integrated'!F:F, 0)</f>
        <v>599325.34679999901</v>
      </c>
      <c r="AC128" s="5">
        <f>_xlfn.XLOOKUP(raceday_22_23[[#This Row],[Helper]],'Betcha Integrated'!A:A,'Betcha Integrated'!G:G, 0)</f>
        <v>50123.910899999901</v>
      </c>
      <c r="AD128" s="5">
        <f>raceday_22_23[[#This Row],[Export Earned]]+raceday_22_23[[#This Row],[Betcha Inc. GBR]]</f>
        <v>56964.000899999897</v>
      </c>
      <c r="AE128" s="88">
        <f>ROUND(raceday_22_23[[#This Row],[Fav. Win %]]*raceday_22_23[[#This Row],[Races]], 0)</f>
        <v>6</v>
      </c>
    </row>
    <row r="129" spans="1:31" x14ac:dyDescent="0.3">
      <c r="A129" s="8">
        <v>45667</v>
      </c>
      <c r="B129" s="3" t="s">
        <v>77</v>
      </c>
      <c r="C129" s="3" t="s">
        <v>111</v>
      </c>
      <c r="D129" s="3" t="s">
        <v>81</v>
      </c>
      <c r="E129" s="3">
        <v>11</v>
      </c>
      <c r="F129" s="3">
        <v>94</v>
      </c>
      <c r="G129" s="3">
        <v>8.5</v>
      </c>
      <c r="H129" s="4">
        <v>0.45500000000000002</v>
      </c>
      <c r="I129" s="5">
        <v>145769</v>
      </c>
      <c r="J129" s="5">
        <v>13252</v>
      </c>
      <c r="K129" s="4">
        <v>1.232</v>
      </c>
      <c r="L129" s="4">
        <v>9.0999999999999998E-2</v>
      </c>
      <c r="M129" s="5">
        <v>1184985</v>
      </c>
      <c r="N129" s="5">
        <v>179640</v>
      </c>
      <c r="O129" s="5">
        <v>185380.49</v>
      </c>
      <c r="P129" s="5">
        <v>291726</v>
      </c>
      <c r="Q129" s="4">
        <v>0.152</v>
      </c>
      <c r="R129" s="4">
        <v>0.96899999999999997</v>
      </c>
      <c r="S129" s="18">
        <v>6.3920000000000003</v>
      </c>
      <c r="T129" s="10">
        <v>1366736</v>
      </c>
      <c r="U129" s="10">
        <v>9935</v>
      </c>
      <c r="V129" s="11">
        <v>7.0000000000000001E-3</v>
      </c>
      <c r="W129" s="12">
        <f>IF(raceday_22_23[[#This Row],[Last Year Turnover]]=0, "No Corresponding PY Meeting", (raceday_22_23[[#This Row],[Betcha Inc. TO]]-raceday_22_23[[#This Row],[Last Year Turnover]])/raceday_22_23[[#This Row],[Last Year Turnover]])</f>
        <v>-9.5519129078330406E-2</v>
      </c>
      <c r="X129" s="3">
        <f>MONTH(raceday_22_23[[#This Row],[Raceday Date]])</f>
        <v>1</v>
      </c>
      <c r="Y12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29" s="3" t="str">
        <f>raceday_22_23[[#This Row],[Raceday Date]]&amp;raceday_22_23[[#This Row],[Club]]</f>
        <v>45667Nelson Harness Racing Club Inc</v>
      </c>
      <c r="AA129" s="5">
        <f>0.03*raceday_22_23[[#This Row],[Export TO (AUD)]]</f>
        <v>8751.7799999999988</v>
      </c>
      <c r="AB129" s="5">
        <f>_xlfn.XLOOKUP(raceday_22_23[[#This Row],[Helper]],'Betcha Integrated'!A:A,'Betcha Integrated'!F:F, 0)</f>
        <v>1236186.567599999</v>
      </c>
      <c r="AC129" s="5">
        <f>_xlfn.XLOOKUP(raceday_22_23[[#This Row],[Helper]],'Betcha Integrated'!A:A,'Betcha Integrated'!G:G, 0)</f>
        <v>169403.41289999991</v>
      </c>
      <c r="AD129" s="5">
        <f>raceday_22_23[[#This Row],[Export Earned]]+raceday_22_23[[#This Row],[Betcha Inc. GBR]]</f>
        <v>178155.19289999991</v>
      </c>
      <c r="AE129" s="88">
        <f>ROUND(raceday_22_23[[#This Row],[Fav. Win %]]*raceday_22_23[[#This Row],[Races]], 0)</f>
        <v>5</v>
      </c>
    </row>
    <row r="130" spans="1:31" x14ac:dyDescent="0.3">
      <c r="A130" s="8">
        <v>45669</v>
      </c>
      <c r="B130" s="3" t="s">
        <v>82</v>
      </c>
      <c r="C130" s="3" t="s">
        <v>111</v>
      </c>
      <c r="D130" s="3" t="s">
        <v>81</v>
      </c>
      <c r="E130" s="3">
        <v>10</v>
      </c>
      <c r="F130" s="3">
        <v>86</v>
      </c>
      <c r="G130" s="3">
        <v>8.6</v>
      </c>
      <c r="H130" s="4">
        <v>0.6</v>
      </c>
      <c r="I130" s="5">
        <v>134583</v>
      </c>
      <c r="J130" s="5">
        <v>13458</v>
      </c>
      <c r="K130" s="4">
        <v>0.17</v>
      </c>
      <c r="L130" s="4">
        <v>0</v>
      </c>
      <c r="M130" s="5">
        <v>1018314</v>
      </c>
      <c r="N130" s="5">
        <v>22823</v>
      </c>
      <c r="O130" s="5">
        <v>174096.74</v>
      </c>
      <c r="P130" s="5">
        <v>200622</v>
      </c>
      <c r="Q130" s="4">
        <v>2.1999999999999999E-2</v>
      </c>
      <c r="R130" s="4">
        <v>0.13100000000000001</v>
      </c>
      <c r="S130" s="18">
        <v>5.8490000000000002</v>
      </c>
      <c r="T130" s="10">
        <v>1286762</v>
      </c>
      <c r="U130" s="10">
        <v>280732</v>
      </c>
      <c r="V130" s="11">
        <v>0.218</v>
      </c>
      <c r="W130" s="12">
        <f>IF(raceday_22_23[[#This Row],[Last Year Turnover]]=0, "No Corresponding PY Meeting", (raceday_22_23[[#This Row],[Betcha Inc. TO]]-raceday_22_23[[#This Row],[Last Year Turnover]])/raceday_22_23[[#This Row],[Last Year Turnover]])</f>
        <v>-0.16499788165954621</v>
      </c>
      <c r="X130" s="3">
        <f>MONTH(raceday_22_23[[#This Row],[Raceday Date]])</f>
        <v>1</v>
      </c>
      <c r="Y13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0" s="3" t="str">
        <f>raceday_22_23[[#This Row],[Raceday Date]]&amp;raceday_22_23[[#This Row],[Club]]</f>
        <v>45669Nelson Harness Racing Club Inc</v>
      </c>
      <c r="AA130" s="5">
        <f>0.03*raceday_22_23[[#This Row],[Export TO (AUD)]]</f>
        <v>6018.66</v>
      </c>
      <c r="AB130" s="5">
        <f>_xlfn.XLOOKUP(raceday_22_23[[#This Row],[Helper]],'Betcha Integrated'!A:A,'Betcha Integrated'!F:F, 0)</f>
        <v>1074448.995799999</v>
      </c>
      <c r="AC130" s="5">
        <f>_xlfn.XLOOKUP(raceday_22_23[[#This Row],[Helper]],'Betcha Integrated'!A:A,'Betcha Integrated'!G:G, 0)</f>
        <v>31970.458599999904</v>
      </c>
      <c r="AD130" s="5">
        <f>raceday_22_23[[#This Row],[Export Earned]]+raceday_22_23[[#This Row],[Betcha Inc. GBR]]</f>
        <v>37989.1185999999</v>
      </c>
      <c r="AE130" s="88">
        <f>ROUND(raceday_22_23[[#This Row],[Fav. Win %]]*raceday_22_23[[#This Row],[Races]], 0)</f>
        <v>6</v>
      </c>
    </row>
    <row r="131" spans="1:31" x14ac:dyDescent="0.3">
      <c r="A131" s="8">
        <v>45671</v>
      </c>
      <c r="B131" s="3" t="s">
        <v>83</v>
      </c>
      <c r="C131" s="3" t="s">
        <v>86</v>
      </c>
      <c r="D131" s="3" t="s">
        <v>81</v>
      </c>
      <c r="E131" s="3">
        <v>9</v>
      </c>
      <c r="F131" s="3">
        <v>97</v>
      </c>
      <c r="G131" s="3">
        <v>10.8</v>
      </c>
      <c r="H131" s="4">
        <v>0</v>
      </c>
      <c r="I131" s="5">
        <v>91075</v>
      </c>
      <c r="J131" s="5">
        <v>10119</v>
      </c>
      <c r="K131" s="4">
        <v>1.6919999999999999</v>
      </c>
      <c r="L131" s="4">
        <v>0.222</v>
      </c>
      <c r="M131" s="5">
        <v>722047</v>
      </c>
      <c r="N131" s="5">
        <v>154137</v>
      </c>
      <c r="O131" s="5">
        <v>120865.24</v>
      </c>
      <c r="P131" s="5">
        <v>283092</v>
      </c>
      <c r="Q131" s="4">
        <v>0.21299999999999999</v>
      </c>
      <c r="R131" s="4">
        <v>1.2749999999999999</v>
      </c>
      <c r="S131" s="18">
        <v>5.9740000000000002</v>
      </c>
      <c r="T131" s="10">
        <v>809941</v>
      </c>
      <c r="U131" s="10">
        <v>171194</v>
      </c>
      <c r="V131" s="11">
        <v>0.21099999999999999</v>
      </c>
      <c r="W131" s="12">
        <f>IF(raceday_22_23[[#This Row],[Last Year Turnover]]=0, "No Corresponding PY Meeting", (raceday_22_23[[#This Row],[Betcha Inc. TO]]-raceday_22_23[[#This Row],[Last Year Turnover]])/raceday_22_23[[#This Row],[Last Year Turnover]])</f>
        <v>-6.3873174836191884E-2</v>
      </c>
      <c r="X131" s="3">
        <f>MONTH(raceday_22_23[[#This Row],[Raceday Date]])</f>
        <v>1</v>
      </c>
      <c r="Y13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1" s="3" t="str">
        <f>raceday_22_23[[#This Row],[Raceday Date]]&amp;raceday_22_23[[#This Row],[Club]]</f>
        <v>45671Ashburton Trotting Club Inc</v>
      </c>
      <c r="AA131" s="5">
        <f>0.03*raceday_22_23[[#This Row],[Export TO (AUD)]]</f>
        <v>8492.76</v>
      </c>
      <c r="AB131" s="5">
        <f>_xlfn.XLOOKUP(raceday_22_23[[#This Row],[Helper]],'Betcha Integrated'!A:A,'Betcha Integrated'!F:F, 0)</f>
        <v>758207.49689999991</v>
      </c>
      <c r="AC131" s="5">
        <f>_xlfn.XLOOKUP(raceday_22_23[[#This Row],[Helper]],'Betcha Integrated'!A:A,'Betcha Integrated'!G:G, 0)</f>
        <v>172934.27240000002</v>
      </c>
      <c r="AD131" s="5">
        <f>raceday_22_23[[#This Row],[Export Earned]]+raceday_22_23[[#This Row],[Betcha Inc. GBR]]</f>
        <v>181427.03240000003</v>
      </c>
      <c r="AE131" s="88">
        <f>ROUND(raceday_22_23[[#This Row],[Fav. Win %]]*raceday_22_23[[#This Row],[Races]], 0)</f>
        <v>0</v>
      </c>
    </row>
    <row r="132" spans="1:31" x14ac:dyDescent="0.3">
      <c r="A132" s="8">
        <v>45673</v>
      </c>
      <c r="B132" s="3" t="s">
        <v>74</v>
      </c>
      <c r="C132" s="3" t="s">
        <v>97</v>
      </c>
      <c r="D132" s="3" t="s">
        <v>76</v>
      </c>
      <c r="E132" s="3">
        <v>12</v>
      </c>
      <c r="F132" s="3">
        <v>118</v>
      </c>
      <c r="G132" s="3">
        <v>9.8000000000000007</v>
      </c>
      <c r="H132" s="4">
        <v>0.41699999999999998</v>
      </c>
      <c r="I132" s="5">
        <v>198287</v>
      </c>
      <c r="J132" s="5">
        <v>16524</v>
      </c>
      <c r="K132" s="4">
        <v>0.24</v>
      </c>
      <c r="L132" s="4">
        <v>8.3000000000000004E-2</v>
      </c>
      <c r="M132" s="5">
        <v>848643</v>
      </c>
      <c r="N132" s="5">
        <v>47588</v>
      </c>
      <c r="O132" s="5">
        <v>215613.74</v>
      </c>
      <c r="P132" s="5">
        <v>381516</v>
      </c>
      <c r="Q132" s="4">
        <v>5.6000000000000001E-2</v>
      </c>
      <c r="R132" s="4">
        <v>0.221</v>
      </c>
      <c r="S132" s="18">
        <v>3.9359999999999999</v>
      </c>
      <c r="T132" s="10">
        <v>904288</v>
      </c>
      <c r="U132" s="10">
        <v>188041</v>
      </c>
      <c r="V132" s="11">
        <v>0.20799999999999999</v>
      </c>
      <c r="W132" s="12">
        <f>IF(raceday_22_23[[#This Row],[Last Year Turnover]]=0, "No Corresponding PY Meeting", (raceday_22_23[[#This Row],[Betcha Inc. TO]]-raceday_22_23[[#This Row],[Last Year Turnover]])/raceday_22_23[[#This Row],[Last Year Turnover]])</f>
        <v>-1.2973635943417421E-2</v>
      </c>
      <c r="X132" s="3">
        <f>MONTH(raceday_22_23[[#This Row],[Raceday Date]])</f>
        <v>1</v>
      </c>
      <c r="Y13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2" s="3" t="str">
        <f>raceday_22_23[[#This Row],[Raceday Date]]&amp;raceday_22_23[[#This Row],[Club]]</f>
        <v>45673Northern Southland Trotting Club Inc</v>
      </c>
      <c r="AA132" s="5">
        <f>0.03*raceday_22_23[[#This Row],[Export TO (AUD)]]</f>
        <v>11445.48</v>
      </c>
      <c r="AB132" s="5">
        <f>_xlfn.XLOOKUP(raceday_22_23[[#This Row],[Helper]],'Betcha Integrated'!A:A,'Betcha Integrated'!F:F, 0)</f>
        <v>892556.09669999895</v>
      </c>
      <c r="AC132" s="5">
        <f>_xlfn.XLOOKUP(raceday_22_23[[#This Row],[Helper]],'Betcha Integrated'!A:A,'Betcha Integrated'!G:G, 0)</f>
        <v>50117.947099999896</v>
      </c>
      <c r="AD132" s="5">
        <f>raceday_22_23[[#This Row],[Export Earned]]+raceday_22_23[[#This Row],[Betcha Inc. GBR]]</f>
        <v>61563.427099999899</v>
      </c>
      <c r="AE132" s="88">
        <f>ROUND(raceday_22_23[[#This Row],[Fav. Win %]]*raceday_22_23[[#This Row],[Races]], 0)</f>
        <v>5</v>
      </c>
    </row>
    <row r="133" spans="1:31" x14ac:dyDescent="0.3">
      <c r="A133" s="8">
        <v>45674</v>
      </c>
      <c r="B133" s="3" t="s">
        <v>77</v>
      </c>
      <c r="C133" s="3" t="s">
        <v>84</v>
      </c>
      <c r="D133" s="3" t="s">
        <v>79</v>
      </c>
      <c r="E133" s="3">
        <v>8</v>
      </c>
      <c r="F133" s="3">
        <v>75</v>
      </c>
      <c r="G133" s="3">
        <v>9.4</v>
      </c>
      <c r="H133" s="4">
        <v>0</v>
      </c>
      <c r="I133" s="5">
        <v>146011</v>
      </c>
      <c r="J133" s="5">
        <v>18251</v>
      </c>
      <c r="K133" s="4">
        <v>0.82899999999999996</v>
      </c>
      <c r="L133" s="4">
        <v>0.125</v>
      </c>
      <c r="M133" s="5">
        <v>596813</v>
      </c>
      <c r="N133" s="5">
        <v>121102</v>
      </c>
      <c r="O133" s="5">
        <v>171198.74</v>
      </c>
      <c r="P133" s="5">
        <v>264053</v>
      </c>
      <c r="Q133" s="4">
        <v>0.20300000000000001</v>
      </c>
      <c r="R133" s="4">
        <v>0.70699999999999996</v>
      </c>
      <c r="S133" s="18">
        <v>3.4860000000000002</v>
      </c>
      <c r="T133" s="10">
        <v>0</v>
      </c>
      <c r="U133" s="10">
        <v>0</v>
      </c>
      <c r="V133" s="11">
        <v>0</v>
      </c>
      <c r="W13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33" s="3">
        <f>MONTH(raceday_22_23[[#This Row],[Raceday Date]])</f>
        <v>1</v>
      </c>
      <c r="Y13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3" s="3" t="str">
        <f>raceday_22_23[[#This Row],[Raceday Date]]&amp;raceday_22_23[[#This Row],[Club]]</f>
        <v>45674Waikato Bay of Plenty Harness Inc</v>
      </c>
      <c r="AA133" s="5">
        <f>0.03*raceday_22_23[[#This Row],[Export TO (AUD)]]</f>
        <v>7921.59</v>
      </c>
      <c r="AB133" s="5">
        <f>_xlfn.XLOOKUP(raceday_22_23[[#This Row],[Helper]],'Betcha Integrated'!A:A,'Betcha Integrated'!F:F, 0)</f>
        <v>627215.64509999997</v>
      </c>
      <c r="AC133" s="5">
        <f>_xlfn.XLOOKUP(raceday_22_23[[#This Row],[Helper]],'Betcha Integrated'!A:A,'Betcha Integrated'!G:G, 0)</f>
        <v>129745.2181</v>
      </c>
      <c r="AD133" s="5">
        <f>raceday_22_23[[#This Row],[Export Earned]]+raceday_22_23[[#This Row],[Betcha Inc. GBR]]</f>
        <v>137666.80809999999</v>
      </c>
      <c r="AE133" s="88">
        <f>ROUND(raceday_22_23[[#This Row],[Fav. Win %]]*raceday_22_23[[#This Row],[Races]], 0)</f>
        <v>0</v>
      </c>
    </row>
    <row r="134" spans="1:31" x14ac:dyDescent="0.3">
      <c r="A134" s="8">
        <v>45674</v>
      </c>
      <c r="B134" s="3" t="s">
        <v>77</v>
      </c>
      <c r="C134" s="3" t="s">
        <v>112</v>
      </c>
      <c r="D134" s="3" t="s">
        <v>81</v>
      </c>
      <c r="E134" s="3">
        <v>12</v>
      </c>
      <c r="F134" s="3">
        <v>154</v>
      </c>
      <c r="G134" s="3">
        <v>12.8</v>
      </c>
      <c r="H134" s="4">
        <v>8.3000000000000004E-2</v>
      </c>
      <c r="I134" s="5">
        <v>159120</v>
      </c>
      <c r="J134" s="5">
        <v>13260</v>
      </c>
      <c r="K134" s="4">
        <v>1.8240000000000001</v>
      </c>
      <c r="L134" s="4">
        <v>0.25</v>
      </c>
      <c r="M134" s="5">
        <v>1301154</v>
      </c>
      <c r="N134" s="5">
        <v>290166</v>
      </c>
      <c r="O134" s="5">
        <v>192497.5</v>
      </c>
      <c r="P134" s="5">
        <v>329429</v>
      </c>
      <c r="Q134" s="4">
        <v>0.223</v>
      </c>
      <c r="R134" s="4">
        <v>1.5069999999999999</v>
      </c>
      <c r="S134" s="18">
        <v>6.7590000000000003</v>
      </c>
      <c r="T134" s="10">
        <v>1287056</v>
      </c>
      <c r="U134" s="10">
        <v>286835</v>
      </c>
      <c r="V134" s="11">
        <v>0.223</v>
      </c>
      <c r="W134" s="12">
        <f>IF(raceday_22_23[[#This Row],[Last Year Turnover]]=0, "No Corresponding PY Meeting", (raceday_22_23[[#This Row],[Betcha Inc. TO]]-raceday_22_23[[#This Row],[Last Year Turnover]])/raceday_22_23[[#This Row],[Last Year Turnover]])</f>
        <v>5.0077192833878181E-2</v>
      </c>
      <c r="X134" s="3">
        <f>MONTH(raceday_22_23[[#This Row],[Raceday Date]])</f>
        <v>1</v>
      </c>
      <c r="Y13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4" s="3" t="str">
        <f>raceday_22_23[[#This Row],[Raceday Date]]&amp;raceday_22_23[[#This Row],[Club]]</f>
        <v>45674Marlborough Harness Racing Club Inc</v>
      </c>
      <c r="AA134" s="5">
        <f>0.03*raceday_22_23[[#This Row],[Export TO (AUD)]]</f>
        <v>9882.869999999999</v>
      </c>
      <c r="AB134" s="5">
        <f>_xlfn.XLOOKUP(raceday_22_23[[#This Row],[Helper]],'Betcha Integrated'!A:A,'Betcha Integrated'!F:F, 0)</f>
        <v>1351508.1514999999</v>
      </c>
      <c r="AC134" s="5">
        <f>_xlfn.XLOOKUP(raceday_22_23[[#This Row],[Helper]],'Betcha Integrated'!A:A,'Betcha Integrated'!G:G, 0)</f>
        <v>292657.05410000001</v>
      </c>
      <c r="AD134" s="5">
        <f>raceday_22_23[[#This Row],[Export Earned]]+raceday_22_23[[#This Row],[Betcha Inc. GBR]]</f>
        <v>302539.9241</v>
      </c>
      <c r="AE134" s="88">
        <f>ROUND(raceday_22_23[[#This Row],[Fav. Win %]]*raceday_22_23[[#This Row],[Races]], 0)</f>
        <v>1</v>
      </c>
    </row>
    <row r="135" spans="1:31" x14ac:dyDescent="0.3">
      <c r="A135" s="8">
        <v>45676</v>
      </c>
      <c r="B135" s="3" t="s">
        <v>82</v>
      </c>
      <c r="C135" s="3" t="s">
        <v>112</v>
      </c>
      <c r="D135" s="3" t="s">
        <v>81</v>
      </c>
      <c r="E135" s="3">
        <v>12</v>
      </c>
      <c r="F135" s="3">
        <v>147</v>
      </c>
      <c r="G135" s="3">
        <v>12.2</v>
      </c>
      <c r="H135" s="4">
        <v>0.41699999999999998</v>
      </c>
      <c r="I135" s="5">
        <v>172911</v>
      </c>
      <c r="J135" s="5">
        <v>14409</v>
      </c>
      <c r="K135" s="4">
        <v>1.6759999999999999</v>
      </c>
      <c r="L135" s="4">
        <v>0.33300000000000002</v>
      </c>
      <c r="M135" s="5">
        <v>1288816</v>
      </c>
      <c r="N135" s="5">
        <v>289869</v>
      </c>
      <c r="O135" s="5">
        <v>208895</v>
      </c>
      <c r="P135" s="5">
        <v>260093</v>
      </c>
      <c r="Q135" s="4">
        <v>0.22500000000000001</v>
      </c>
      <c r="R135" s="4">
        <v>1.3879999999999999</v>
      </c>
      <c r="S135" s="18">
        <v>6.17</v>
      </c>
      <c r="T135" s="10">
        <v>1260277</v>
      </c>
      <c r="U135" s="10">
        <v>233594</v>
      </c>
      <c r="V135" s="11">
        <v>0.185</v>
      </c>
      <c r="W135" s="12">
        <f>IF(raceday_22_23[[#This Row],[Last Year Turnover]]=0, "No Corresponding PY Meeting", (raceday_22_23[[#This Row],[Betcha Inc. TO]]-raceday_22_23[[#This Row],[Last Year Turnover]])/raceday_22_23[[#This Row],[Last Year Turnover]])</f>
        <v>7.0551481063290178E-2</v>
      </c>
      <c r="X135" s="3">
        <f>MONTH(raceday_22_23[[#This Row],[Raceday Date]])</f>
        <v>1</v>
      </c>
      <c r="Y13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5" s="3" t="str">
        <f>raceday_22_23[[#This Row],[Raceday Date]]&amp;raceday_22_23[[#This Row],[Club]]</f>
        <v>45676Marlborough Harness Racing Club Inc</v>
      </c>
      <c r="AA135" s="5">
        <f>0.03*raceday_22_23[[#This Row],[Export TO (AUD)]]</f>
        <v>7802.79</v>
      </c>
      <c r="AB135" s="5">
        <f>_xlfn.XLOOKUP(raceday_22_23[[#This Row],[Helper]],'Betcha Integrated'!A:A,'Betcha Integrated'!F:F, 0)</f>
        <v>1349191.4089000002</v>
      </c>
      <c r="AC135" s="5">
        <f>_xlfn.XLOOKUP(raceday_22_23[[#This Row],[Helper]],'Betcha Integrated'!A:A,'Betcha Integrated'!G:G, 0)</f>
        <v>306500.70780000003</v>
      </c>
      <c r="AD135" s="5">
        <f>raceday_22_23[[#This Row],[Export Earned]]+raceday_22_23[[#This Row],[Betcha Inc. GBR]]</f>
        <v>314303.49780000001</v>
      </c>
      <c r="AE135" s="88">
        <f>ROUND(raceday_22_23[[#This Row],[Fav. Win %]]*raceday_22_23[[#This Row],[Races]], 0)</f>
        <v>5</v>
      </c>
    </row>
    <row r="136" spans="1:31" x14ac:dyDescent="0.3">
      <c r="A136" s="8">
        <v>45676</v>
      </c>
      <c r="B136" s="3" t="s">
        <v>82</v>
      </c>
      <c r="C136" s="3" t="s">
        <v>110</v>
      </c>
      <c r="D136" s="3" t="s">
        <v>79</v>
      </c>
      <c r="E136" s="3">
        <v>8</v>
      </c>
      <c r="F136" s="3">
        <v>63</v>
      </c>
      <c r="G136" s="3">
        <v>7.9</v>
      </c>
      <c r="H136" s="4">
        <v>0.25</v>
      </c>
      <c r="I136" s="5">
        <v>96430</v>
      </c>
      <c r="J136" s="5">
        <v>12054</v>
      </c>
      <c r="K136" s="4">
        <v>1.0820000000000001</v>
      </c>
      <c r="L136" s="4">
        <v>0.375</v>
      </c>
      <c r="M136" s="5">
        <v>338434</v>
      </c>
      <c r="N136" s="5">
        <v>104382</v>
      </c>
      <c r="O136" s="5">
        <v>115339.79</v>
      </c>
      <c r="P136" s="5">
        <v>123401</v>
      </c>
      <c r="Q136" s="4">
        <v>0.308</v>
      </c>
      <c r="R136" s="4">
        <v>0.90500000000000003</v>
      </c>
      <c r="S136" s="18">
        <v>2.9340000000000002</v>
      </c>
      <c r="T136" s="10">
        <v>0</v>
      </c>
      <c r="U136" s="10">
        <v>0</v>
      </c>
      <c r="V136" s="11">
        <v>0</v>
      </c>
      <c r="W13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36" s="3">
        <f>MONTH(raceday_22_23[[#This Row],[Raceday Date]])</f>
        <v>1</v>
      </c>
      <c r="Y13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6" s="3" t="str">
        <f>raceday_22_23[[#This Row],[Raceday Date]]&amp;raceday_22_23[[#This Row],[Club]]</f>
        <v>45676Kapiti Coast Harness Racing Club Inc</v>
      </c>
      <c r="AA136" s="5">
        <f>0.03*raceday_22_23[[#This Row],[Export TO (AUD)]]</f>
        <v>3702.0299999999997</v>
      </c>
      <c r="AB136" s="5">
        <f>_xlfn.XLOOKUP(raceday_22_23[[#This Row],[Helper]],'Betcha Integrated'!A:A,'Betcha Integrated'!F:F, 0)</f>
        <v>355900.70099999901</v>
      </c>
      <c r="AC136" s="5">
        <f>_xlfn.XLOOKUP(raceday_22_23[[#This Row],[Helper]],'Betcha Integrated'!A:A,'Betcha Integrated'!G:G, 0)</f>
        <v>112052.3189999999</v>
      </c>
      <c r="AD136" s="5">
        <f>raceday_22_23[[#This Row],[Export Earned]]+raceday_22_23[[#This Row],[Betcha Inc. GBR]]</f>
        <v>115754.3489999999</v>
      </c>
      <c r="AE136" s="88">
        <f>ROUND(raceday_22_23[[#This Row],[Fav. Win %]]*raceday_22_23[[#This Row],[Races]], 0)</f>
        <v>2</v>
      </c>
    </row>
    <row r="137" spans="1:31" x14ac:dyDescent="0.3">
      <c r="A137" s="8">
        <v>45678</v>
      </c>
      <c r="B137" s="3" t="s">
        <v>83</v>
      </c>
      <c r="C137" s="3" t="s">
        <v>110</v>
      </c>
      <c r="D137" s="3" t="s">
        <v>79</v>
      </c>
      <c r="E137" s="3">
        <v>7</v>
      </c>
      <c r="F137" s="3">
        <v>62</v>
      </c>
      <c r="G137" s="3">
        <v>8.9</v>
      </c>
      <c r="H137" s="4">
        <v>0.42899999999999999</v>
      </c>
      <c r="I137" s="5">
        <v>87443</v>
      </c>
      <c r="J137" s="5">
        <v>12492</v>
      </c>
      <c r="K137" s="4">
        <v>0.59599999999999997</v>
      </c>
      <c r="L137" s="4">
        <v>0.28599999999999998</v>
      </c>
      <c r="M137" s="5">
        <v>400420</v>
      </c>
      <c r="N137" s="5">
        <v>52088</v>
      </c>
      <c r="O137" s="5">
        <v>106351.03999999999</v>
      </c>
      <c r="P137" s="5">
        <v>244944</v>
      </c>
      <c r="Q137" s="4">
        <v>0.13</v>
      </c>
      <c r="R137" s="4">
        <v>0.49</v>
      </c>
      <c r="S137" s="18">
        <v>3.7650000000000001</v>
      </c>
      <c r="T137" s="10">
        <v>0</v>
      </c>
      <c r="U137" s="10">
        <v>0</v>
      </c>
      <c r="V137" s="11">
        <v>0</v>
      </c>
      <c r="W13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37" s="3">
        <f>MONTH(raceday_22_23[[#This Row],[Raceday Date]])</f>
        <v>1</v>
      </c>
      <c r="Y13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7" s="3" t="str">
        <f>raceday_22_23[[#This Row],[Raceday Date]]&amp;raceday_22_23[[#This Row],[Club]]</f>
        <v>45678Kapiti Coast Harness Racing Club Inc</v>
      </c>
      <c r="AA137" s="5">
        <f>0.03*raceday_22_23[[#This Row],[Export TO (AUD)]]</f>
        <v>7348.32</v>
      </c>
      <c r="AB137" s="5">
        <f>_xlfn.XLOOKUP(raceday_22_23[[#This Row],[Helper]],'Betcha Integrated'!A:A,'Betcha Integrated'!F:F, 0)</f>
        <v>423191.038</v>
      </c>
      <c r="AC137" s="5">
        <f>_xlfn.XLOOKUP(raceday_22_23[[#This Row],[Helper]],'Betcha Integrated'!A:A,'Betcha Integrated'!G:G, 0)</f>
        <v>53859.189200000001</v>
      </c>
      <c r="AD137" s="5">
        <f>raceday_22_23[[#This Row],[Export Earned]]+raceday_22_23[[#This Row],[Betcha Inc. GBR]]</f>
        <v>61207.5092</v>
      </c>
      <c r="AE137" s="88">
        <f>ROUND(raceday_22_23[[#This Row],[Fav. Win %]]*raceday_22_23[[#This Row],[Races]], 0)</f>
        <v>3</v>
      </c>
    </row>
    <row r="138" spans="1:31" x14ac:dyDescent="0.3">
      <c r="A138" s="8">
        <v>45679</v>
      </c>
      <c r="B138" s="3" t="s">
        <v>96</v>
      </c>
      <c r="C138" s="3" t="s">
        <v>104</v>
      </c>
      <c r="D138" s="3" t="s">
        <v>76</v>
      </c>
      <c r="E138" s="3">
        <v>9</v>
      </c>
      <c r="F138" s="3">
        <v>82</v>
      </c>
      <c r="G138" s="3">
        <v>9.1</v>
      </c>
      <c r="H138" s="4">
        <v>0.55600000000000005</v>
      </c>
      <c r="I138" s="5">
        <v>92187</v>
      </c>
      <c r="J138" s="5">
        <v>10243</v>
      </c>
      <c r="K138" s="4">
        <v>0.91100000000000003</v>
      </c>
      <c r="L138" s="4">
        <v>0</v>
      </c>
      <c r="M138" s="5">
        <v>549351</v>
      </c>
      <c r="N138" s="5">
        <v>83993</v>
      </c>
      <c r="O138" s="5">
        <v>109513.74</v>
      </c>
      <c r="P138" s="5">
        <v>258777</v>
      </c>
      <c r="Q138" s="4">
        <v>0.153</v>
      </c>
      <c r="R138" s="4">
        <v>0.76700000000000002</v>
      </c>
      <c r="S138" s="18">
        <v>5.016</v>
      </c>
      <c r="T138" s="10">
        <v>464064</v>
      </c>
      <c r="U138" s="10">
        <v>51410</v>
      </c>
      <c r="V138" s="11">
        <v>0.111</v>
      </c>
      <c r="W138" s="12">
        <f>IF(raceday_22_23[[#This Row],[Last Year Turnover]]=0, "No Corresponding PY Meeting", (raceday_22_23[[#This Row],[Betcha Inc. TO]]-raceday_22_23[[#This Row],[Last Year Turnover]])/raceday_22_23[[#This Row],[Last Year Turnover]])</f>
        <v>0.23559969120638538</v>
      </c>
      <c r="X138" s="3">
        <f>MONTH(raceday_22_23[[#This Row],[Raceday Date]])</f>
        <v>1</v>
      </c>
      <c r="Y13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8" s="3" t="str">
        <f>raceday_22_23[[#This Row],[Raceday Date]]&amp;raceday_22_23[[#This Row],[Club]]</f>
        <v>45679Forbury Park Trotting Club Inc</v>
      </c>
      <c r="AA138" s="5">
        <f>0.03*raceday_22_23[[#This Row],[Export TO (AUD)]]</f>
        <v>7763.3099999999995</v>
      </c>
      <c r="AB138" s="5">
        <f>_xlfn.XLOOKUP(raceday_22_23[[#This Row],[Helper]],'Betcha Integrated'!A:A,'Betcha Integrated'!F:F, 0)</f>
        <v>573397.33510000003</v>
      </c>
      <c r="AC138" s="5">
        <f>_xlfn.XLOOKUP(raceday_22_23[[#This Row],[Helper]],'Betcha Integrated'!A:A,'Betcha Integrated'!G:G, 0)</f>
        <v>84641.94200000001</v>
      </c>
      <c r="AD138" s="5">
        <f>raceday_22_23[[#This Row],[Export Earned]]+raceday_22_23[[#This Row],[Betcha Inc. GBR]]</f>
        <v>92405.252000000008</v>
      </c>
      <c r="AE138" s="88">
        <f>ROUND(raceday_22_23[[#This Row],[Fav. Win %]]*raceday_22_23[[#This Row],[Races]], 0)</f>
        <v>5</v>
      </c>
    </row>
    <row r="139" spans="1:31" x14ac:dyDescent="0.3">
      <c r="A139" s="8">
        <v>45681</v>
      </c>
      <c r="B139" s="3" t="s">
        <v>77</v>
      </c>
      <c r="C139" s="3" t="s">
        <v>84</v>
      </c>
      <c r="D139" s="3" t="s">
        <v>79</v>
      </c>
      <c r="E139" s="3">
        <v>6</v>
      </c>
      <c r="F139" s="3">
        <v>51</v>
      </c>
      <c r="G139" s="3">
        <v>8.5</v>
      </c>
      <c r="H139" s="4">
        <v>0.33300000000000002</v>
      </c>
      <c r="I139" s="5">
        <v>123436</v>
      </c>
      <c r="J139" s="5">
        <v>20573</v>
      </c>
      <c r="K139" s="4">
        <v>0.748</v>
      </c>
      <c r="L139" s="4">
        <v>0</v>
      </c>
      <c r="M139" s="5">
        <v>371640</v>
      </c>
      <c r="N139" s="5">
        <v>92298</v>
      </c>
      <c r="O139" s="5">
        <v>148623.74</v>
      </c>
      <c r="P139" s="5">
        <v>170968</v>
      </c>
      <c r="Q139" s="4">
        <v>0.248</v>
      </c>
      <c r="R139" s="4">
        <v>0.621</v>
      </c>
      <c r="S139" s="18">
        <v>2.5009999999999999</v>
      </c>
      <c r="T139" s="10">
        <v>0</v>
      </c>
      <c r="U139" s="10">
        <v>0</v>
      </c>
      <c r="V139" s="11">
        <v>0</v>
      </c>
      <c r="W13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39" s="3">
        <f>MONTH(raceday_22_23[[#This Row],[Raceday Date]])</f>
        <v>1</v>
      </c>
      <c r="Y13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39" s="3" t="str">
        <f>raceday_22_23[[#This Row],[Raceday Date]]&amp;raceday_22_23[[#This Row],[Club]]</f>
        <v>45681Waikato Bay of Plenty Harness Inc</v>
      </c>
      <c r="AA139" s="5">
        <f>0.03*raceday_22_23[[#This Row],[Export TO (AUD)]]</f>
        <v>5129.04</v>
      </c>
      <c r="AB139" s="5">
        <f>_xlfn.XLOOKUP(raceday_22_23[[#This Row],[Helper]],'Betcha Integrated'!A:A,'Betcha Integrated'!F:F, 0)</f>
        <v>402359.09669999901</v>
      </c>
      <c r="AC139" s="5">
        <f>_xlfn.XLOOKUP(raceday_22_23[[#This Row],[Helper]],'Betcha Integrated'!A:A,'Betcha Integrated'!G:G, 0)</f>
        <v>104065.08779999991</v>
      </c>
      <c r="AD139" s="5">
        <f>raceday_22_23[[#This Row],[Export Earned]]+raceday_22_23[[#This Row],[Betcha Inc. GBR]]</f>
        <v>109194.1277999999</v>
      </c>
      <c r="AE139" s="88">
        <f>ROUND(raceday_22_23[[#This Row],[Fav. Win %]]*raceday_22_23[[#This Row],[Races]], 0)</f>
        <v>2</v>
      </c>
    </row>
    <row r="140" spans="1:31" x14ac:dyDescent="0.3">
      <c r="A140" s="8">
        <v>45681</v>
      </c>
      <c r="B140" s="3" t="s">
        <v>77</v>
      </c>
      <c r="C140" s="3" t="s">
        <v>80</v>
      </c>
      <c r="D140" s="3" t="s">
        <v>81</v>
      </c>
      <c r="E140" s="3">
        <v>10</v>
      </c>
      <c r="F140" s="3">
        <v>87</v>
      </c>
      <c r="G140" s="3">
        <v>8.6999999999999993</v>
      </c>
      <c r="H140" s="4">
        <v>0.6</v>
      </c>
      <c r="I140" s="5">
        <v>198215</v>
      </c>
      <c r="J140" s="5">
        <v>19822</v>
      </c>
      <c r="K140" s="4">
        <v>0.63600000000000001</v>
      </c>
      <c r="L140" s="4">
        <v>0.3</v>
      </c>
      <c r="M140" s="5">
        <v>895788</v>
      </c>
      <c r="N140" s="5">
        <v>126145</v>
      </c>
      <c r="O140" s="5">
        <v>235911.92</v>
      </c>
      <c r="P140" s="5">
        <v>406615</v>
      </c>
      <c r="Q140" s="4">
        <v>0.14099999999999999</v>
      </c>
      <c r="R140" s="4">
        <v>0.53500000000000003</v>
      </c>
      <c r="S140" s="18">
        <v>3.7970000000000002</v>
      </c>
      <c r="T140" s="10">
        <v>834694</v>
      </c>
      <c r="U140" s="10">
        <v>153590</v>
      </c>
      <c r="V140" s="11">
        <v>0.184</v>
      </c>
      <c r="W140" s="12">
        <f>IF(raceday_22_23[[#This Row],[Last Year Turnover]]=0, "No Corresponding PY Meeting", (raceday_22_23[[#This Row],[Betcha Inc. TO]]-raceday_22_23[[#This Row],[Last Year Turnover]])/raceday_22_23[[#This Row],[Last Year Turnover]])</f>
        <v>0.13833789460568779</v>
      </c>
      <c r="X140" s="3">
        <f>MONTH(raceday_22_23[[#This Row],[Raceday Date]])</f>
        <v>1</v>
      </c>
      <c r="Y14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0" s="3" t="str">
        <f>raceday_22_23[[#This Row],[Raceday Date]]&amp;raceday_22_23[[#This Row],[Club]]</f>
        <v>45681NZ Metropolitan Trotting Club Inc</v>
      </c>
      <c r="AA140" s="5">
        <f>0.03*raceday_22_23[[#This Row],[Export TO (AUD)]]</f>
        <v>12198.449999999999</v>
      </c>
      <c r="AB140" s="5">
        <f>_xlfn.XLOOKUP(raceday_22_23[[#This Row],[Helper]],'Betcha Integrated'!A:A,'Betcha Integrated'!F:F, 0)</f>
        <v>950163.81059999997</v>
      </c>
      <c r="AC140" s="5">
        <f>_xlfn.XLOOKUP(raceday_22_23[[#This Row],[Helper]],'Betcha Integrated'!A:A,'Betcha Integrated'!G:G, 0)</f>
        <v>129076.74170000001</v>
      </c>
      <c r="AD140" s="5">
        <f>raceday_22_23[[#This Row],[Export Earned]]+raceday_22_23[[#This Row],[Betcha Inc. GBR]]</f>
        <v>141275.19170000002</v>
      </c>
      <c r="AE140" s="88">
        <f>ROUND(raceday_22_23[[#This Row],[Fav. Win %]]*raceday_22_23[[#This Row],[Races]], 0)</f>
        <v>6</v>
      </c>
    </row>
    <row r="141" spans="1:31" x14ac:dyDescent="0.3">
      <c r="A141" s="8">
        <v>45683</v>
      </c>
      <c r="B141" s="3" t="s">
        <v>82</v>
      </c>
      <c r="C141" s="3" t="s">
        <v>113</v>
      </c>
      <c r="D141" s="3" t="s">
        <v>76</v>
      </c>
      <c r="E141" s="3">
        <v>10</v>
      </c>
      <c r="F141" s="3">
        <v>108</v>
      </c>
      <c r="G141" s="3">
        <v>10.8</v>
      </c>
      <c r="H141" s="4">
        <v>0.3</v>
      </c>
      <c r="I141" s="5">
        <v>136815</v>
      </c>
      <c r="J141" s="5">
        <v>13682</v>
      </c>
      <c r="K141" s="4">
        <v>1.43</v>
      </c>
      <c r="L141" s="4">
        <v>0.3</v>
      </c>
      <c r="M141" s="5">
        <v>789346</v>
      </c>
      <c r="N141" s="5">
        <v>195673</v>
      </c>
      <c r="O141" s="5">
        <v>154456.24</v>
      </c>
      <c r="P141" s="5">
        <v>173230</v>
      </c>
      <c r="Q141" s="4">
        <v>0.248</v>
      </c>
      <c r="R141" s="4">
        <v>1.2669999999999999</v>
      </c>
      <c r="S141" s="18">
        <v>5.1100000000000003</v>
      </c>
      <c r="T141" s="10">
        <v>782136</v>
      </c>
      <c r="U141" s="10">
        <v>140275</v>
      </c>
      <c r="V141" s="11">
        <v>0.17899999999999999</v>
      </c>
      <c r="W141" s="12">
        <f>IF(raceday_22_23[[#This Row],[Last Year Turnover]]=0, "No Corresponding PY Meeting", (raceday_22_23[[#This Row],[Betcha Inc. TO]]-raceday_22_23[[#This Row],[Last Year Turnover]])/raceday_22_23[[#This Row],[Last Year Turnover]])</f>
        <v>5.5132535518118336E-2</v>
      </c>
      <c r="X141" s="3">
        <f>MONTH(raceday_22_23[[#This Row],[Raceday Date]])</f>
        <v>1</v>
      </c>
      <c r="Y14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1" s="3" t="str">
        <f>raceday_22_23[[#This Row],[Raceday Date]]&amp;raceday_22_23[[#This Row],[Club]]</f>
        <v>45683Riverton Trotting Club Inc</v>
      </c>
      <c r="AA141" s="5">
        <f>0.03*raceday_22_23[[#This Row],[Export TO (AUD)]]</f>
        <v>5196.8999999999996</v>
      </c>
      <c r="AB141" s="5">
        <f>_xlfn.XLOOKUP(raceday_22_23[[#This Row],[Helper]],'Betcha Integrated'!A:A,'Betcha Integrated'!F:F, 0)</f>
        <v>825257.140799999</v>
      </c>
      <c r="AC141" s="5">
        <f>_xlfn.XLOOKUP(raceday_22_23[[#This Row],[Helper]],'Betcha Integrated'!A:A,'Betcha Integrated'!G:G, 0)</f>
        <v>199552.96559999988</v>
      </c>
      <c r="AD141" s="5">
        <f>raceday_22_23[[#This Row],[Export Earned]]+raceday_22_23[[#This Row],[Betcha Inc. GBR]]</f>
        <v>204749.86559999987</v>
      </c>
      <c r="AE141" s="88">
        <f>ROUND(raceday_22_23[[#This Row],[Fav. Win %]]*raceday_22_23[[#This Row],[Races]], 0)</f>
        <v>3</v>
      </c>
    </row>
    <row r="142" spans="1:31" x14ac:dyDescent="0.3">
      <c r="A142" s="8">
        <v>45683</v>
      </c>
      <c r="B142" s="3" t="s">
        <v>82</v>
      </c>
      <c r="C142" s="3" t="s">
        <v>91</v>
      </c>
      <c r="D142" s="3" t="s">
        <v>81</v>
      </c>
      <c r="E142" s="3">
        <v>11</v>
      </c>
      <c r="F142" s="3">
        <v>132</v>
      </c>
      <c r="G142" s="3">
        <v>12</v>
      </c>
      <c r="H142" s="4">
        <v>9.0999999999999998E-2</v>
      </c>
      <c r="I142" s="5">
        <v>131010</v>
      </c>
      <c r="J142" s="5">
        <v>11910</v>
      </c>
      <c r="K142" s="4">
        <v>1.228</v>
      </c>
      <c r="L142" s="4">
        <v>9.0999999999999998E-2</v>
      </c>
      <c r="M142" s="5">
        <v>910878</v>
      </c>
      <c r="N142" s="5">
        <v>160864</v>
      </c>
      <c r="O142" s="5">
        <v>158975.65</v>
      </c>
      <c r="P142" s="5">
        <v>145476</v>
      </c>
      <c r="Q142" s="4">
        <v>0.17699999999999999</v>
      </c>
      <c r="R142" s="4">
        <v>1.012</v>
      </c>
      <c r="S142" s="18">
        <v>5.73</v>
      </c>
      <c r="T142" s="10">
        <v>1133922</v>
      </c>
      <c r="U142" s="10">
        <v>188283</v>
      </c>
      <c r="V142" s="11">
        <v>0.16600000000000001</v>
      </c>
      <c r="W142" s="12">
        <f>IF(raceday_22_23[[#This Row],[Last Year Turnover]]=0, "No Corresponding PY Meeting", (raceday_22_23[[#This Row],[Betcha Inc. TO]]-raceday_22_23[[#This Row],[Last Year Turnover]])/raceday_22_23[[#This Row],[Last Year Turnover]])</f>
        <v>-0.15561132741052816</v>
      </c>
      <c r="X142" s="3">
        <f>MONTH(raceday_22_23[[#This Row],[Raceday Date]])</f>
        <v>1</v>
      </c>
      <c r="Y14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2" s="3" t="str">
        <f>raceday_22_23[[#This Row],[Raceday Date]]&amp;raceday_22_23[[#This Row],[Club]]</f>
        <v>45683Methven Trotting Club Inc</v>
      </c>
      <c r="AA142" s="5">
        <f>0.03*raceday_22_23[[#This Row],[Export TO (AUD)]]</f>
        <v>4364.28</v>
      </c>
      <c r="AB142" s="5">
        <f>_xlfn.XLOOKUP(raceday_22_23[[#This Row],[Helper]],'Betcha Integrated'!A:A,'Betcha Integrated'!F:F, 0)</f>
        <v>957470.89239999908</v>
      </c>
      <c r="AC142" s="5">
        <f>_xlfn.XLOOKUP(raceday_22_23[[#This Row],[Helper]],'Betcha Integrated'!A:A,'Betcha Integrated'!G:G, 0)</f>
        <v>174280.35359999991</v>
      </c>
      <c r="AD142" s="5">
        <f>raceday_22_23[[#This Row],[Export Earned]]+raceday_22_23[[#This Row],[Betcha Inc. GBR]]</f>
        <v>178644.63359999991</v>
      </c>
      <c r="AE142" s="88">
        <f>ROUND(raceday_22_23[[#This Row],[Fav. Win %]]*raceday_22_23[[#This Row],[Races]], 0)</f>
        <v>1</v>
      </c>
    </row>
    <row r="143" spans="1:31" x14ac:dyDescent="0.3">
      <c r="A143" s="8">
        <v>45684</v>
      </c>
      <c r="B143" s="3" t="s">
        <v>99</v>
      </c>
      <c r="C143" s="3" t="s">
        <v>84</v>
      </c>
      <c r="D143" s="3" t="s">
        <v>79</v>
      </c>
      <c r="E143" s="3">
        <v>5</v>
      </c>
      <c r="F143" s="3">
        <v>32</v>
      </c>
      <c r="G143" s="3">
        <v>6.4</v>
      </c>
      <c r="H143" s="4">
        <v>0.4</v>
      </c>
      <c r="I143" s="5">
        <v>45100</v>
      </c>
      <c r="J143" s="5">
        <v>9020</v>
      </c>
      <c r="K143" s="4">
        <v>-0.46600000000000003</v>
      </c>
      <c r="L143" s="4">
        <v>0</v>
      </c>
      <c r="M143" s="5">
        <v>180287</v>
      </c>
      <c r="N143" s="5">
        <v>-21027</v>
      </c>
      <c r="O143" s="5">
        <v>70391.240000000005</v>
      </c>
      <c r="P143" s="5">
        <v>118690</v>
      </c>
      <c r="Q143" s="4">
        <v>-0.11700000000000001</v>
      </c>
      <c r="R143" s="4">
        <v>-0.29899999999999999</v>
      </c>
      <c r="S143" s="18">
        <v>2.5609999999999999</v>
      </c>
      <c r="T143" s="10">
        <v>0</v>
      </c>
      <c r="U143" s="10">
        <v>0</v>
      </c>
      <c r="V143" s="11">
        <v>0</v>
      </c>
      <c r="W14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43" s="3">
        <f>MONTH(raceday_22_23[[#This Row],[Raceday Date]])</f>
        <v>1</v>
      </c>
      <c r="Y14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3" s="3" t="str">
        <f>raceday_22_23[[#This Row],[Raceday Date]]&amp;raceday_22_23[[#This Row],[Club]]</f>
        <v>45684Waikato Bay of Plenty Harness Inc</v>
      </c>
      <c r="AA143" s="5">
        <f>0.03*raceday_22_23[[#This Row],[Export TO (AUD)]]</f>
        <v>3560.7</v>
      </c>
      <c r="AB143" s="5">
        <f>_xlfn.XLOOKUP(raceday_22_23[[#This Row],[Helper]],'Betcha Integrated'!A:A,'Betcha Integrated'!F:F, 0)</f>
        <v>196437.62160000001</v>
      </c>
      <c r="AC143" s="5">
        <f>_xlfn.XLOOKUP(raceday_22_23[[#This Row],[Helper]],'Betcha Integrated'!A:A,'Betcha Integrated'!G:G, 0)</f>
        <v>-23876.4584</v>
      </c>
      <c r="AD143" s="5">
        <f>raceday_22_23[[#This Row],[Export Earned]]+raceday_22_23[[#This Row],[Betcha Inc. GBR]]</f>
        <v>-20315.758399999999</v>
      </c>
      <c r="AE143" s="88">
        <f>ROUND(raceday_22_23[[#This Row],[Fav. Win %]]*raceday_22_23[[#This Row],[Races]], 0)</f>
        <v>2</v>
      </c>
    </row>
    <row r="144" spans="1:31" x14ac:dyDescent="0.3">
      <c r="A144" s="8">
        <v>45687</v>
      </c>
      <c r="B144" s="3" t="s">
        <v>74</v>
      </c>
      <c r="C144" s="3" t="s">
        <v>85</v>
      </c>
      <c r="D144" s="3" t="s">
        <v>76</v>
      </c>
      <c r="E144" s="3">
        <v>9</v>
      </c>
      <c r="F144" s="3">
        <v>79</v>
      </c>
      <c r="G144" s="3">
        <v>8.8000000000000007</v>
      </c>
      <c r="H144" s="4">
        <v>0.55600000000000005</v>
      </c>
      <c r="I144" s="5">
        <v>97226</v>
      </c>
      <c r="J144" s="5">
        <v>10803</v>
      </c>
      <c r="K144" s="4">
        <v>0.50800000000000001</v>
      </c>
      <c r="L144" s="4">
        <v>0</v>
      </c>
      <c r="M144" s="5">
        <v>582982</v>
      </c>
      <c r="N144" s="5">
        <v>49368</v>
      </c>
      <c r="O144" s="5">
        <v>122052.86</v>
      </c>
      <c r="P144" s="5">
        <v>349490</v>
      </c>
      <c r="Q144" s="4">
        <v>8.5000000000000006E-2</v>
      </c>
      <c r="R144" s="4">
        <v>0.40400000000000003</v>
      </c>
      <c r="S144" s="18">
        <v>4.7759999999999998</v>
      </c>
      <c r="T144" s="10">
        <v>661811</v>
      </c>
      <c r="U144" s="10">
        <v>99109</v>
      </c>
      <c r="V144" s="11">
        <v>0.15</v>
      </c>
      <c r="W144" s="12">
        <f>IF(raceday_22_23[[#This Row],[Last Year Turnover]]=0, "No Corresponding PY Meeting", (raceday_22_23[[#This Row],[Betcha Inc. TO]]-raceday_22_23[[#This Row],[Last Year Turnover]])/raceday_22_23[[#This Row],[Last Year Turnover]])</f>
        <v>-7.0814145579327095E-2</v>
      </c>
      <c r="X144" s="3">
        <f>MONTH(raceday_22_23[[#This Row],[Raceday Date]])</f>
        <v>1</v>
      </c>
      <c r="Y14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4" s="3" t="str">
        <f>raceday_22_23[[#This Row],[Raceday Date]]&amp;raceday_22_23[[#This Row],[Club]]</f>
        <v>45687Invercargill Harness Racing Club Inc</v>
      </c>
      <c r="AA144" s="5">
        <f>0.03*raceday_22_23[[#This Row],[Export TO (AUD)]]</f>
        <v>10484.699999999999</v>
      </c>
      <c r="AB144" s="5">
        <f>_xlfn.XLOOKUP(raceday_22_23[[#This Row],[Helper]],'Betcha Integrated'!A:A,'Betcha Integrated'!F:F, 0)</f>
        <v>614945.41949999996</v>
      </c>
      <c r="AC144" s="5">
        <f>_xlfn.XLOOKUP(raceday_22_23[[#This Row],[Helper]],'Betcha Integrated'!A:A,'Betcha Integrated'!G:G, 0)</f>
        <v>48606.799500000001</v>
      </c>
      <c r="AD144" s="5">
        <f>raceday_22_23[[#This Row],[Export Earned]]+raceday_22_23[[#This Row],[Betcha Inc. GBR]]</f>
        <v>59091.499499999998</v>
      </c>
      <c r="AE144" s="88">
        <f>ROUND(raceday_22_23[[#This Row],[Fav. Win %]]*raceday_22_23[[#This Row],[Races]], 0)</f>
        <v>5</v>
      </c>
    </row>
    <row r="145" spans="1:31" x14ac:dyDescent="0.3">
      <c r="A145" s="8">
        <v>45688</v>
      </c>
      <c r="B145" s="3" t="s">
        <v>77</v>
      </c>
      <c r="C145" s="3" t="s">
        <v>114</v>
      </c>
      <c r="D145" s="3" t="s">
        <v>79</v>
      </c>
      <c r="E145" s="3">
        <v>10</v>
      </c>
      <c r="F145" s="3">
        <v>108</v>
      </c>
      <c r="G145" s="3">
        <v>10.8</v>
      </c>
      <c r="H145" s="4">
        <v>0.3</v>
      </c>
      <c r="I145" s="5">
        <v>129436</v>
      </c>
      <c r="J145" s="5">
        <v>12944</v>
      </c>
      <c r="K145" s="4">
        <v>0.76300000000000001</v>
      </c>
      <c r="L145" s="4">
        <v>0.5</v>
      </c>
      <c r="M145" s="5">
        <v>573172</v>
      </c>
      <c r="N145" s="5">
        <v>98763</v>
      </c>
      <c r="O145" s="5">
        <v>145687.24</v>
      </c>
      <c r="P145" s="5">
        <v>266365</v>
      </c>
      <c r="Q145" s="4">
        <v>0.17199999999999999</v>
      </c>
      <c r="R145" s="4">
        <v>0.67800000000000005</v>
      </c>
      <c r="S145" s="18">
        <v>3.9340000000000002</v>
      </c>
      <c r="T145" s="10">
        <v>707430</v>
      </c>
      <c r="U145" s="10">
        <v>78285</v>
      </c>
      <c r="V145" s="11">
        <v>0.111</v>
      </c>
      <c r="W145" s="12">
        <f>IF(raceday_22_23[[#This Row],[Last Year Turnover]]=0, "No Corresponding PY Meeting", (raceday_22_23[[#This Row],[Betcha Inc. TO]]-raceday_22_23[[#This Row],[Last Year Turnover]])/raceday_22_23[[#This Row],[Last Year Turnover]])</f>
        <v>-0.14532916981185426</v>
      </c>
      <c r="X145" s="3">
        <f>MONTH(raceday_22_23[[#This Row],[Raceday Date]])</f>
        <v>1</v>
      </c>
      <c r="Y14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5" s="3" t="str">
        <f>raceday_22_23[[#This Row],[Raceday Date]]&amp;raceday_22_23[[#This Row],[Club]]</f>
        <v>45688Hawera Harness Racing Club Inc</v>
      </c>
      <c r="AA145" s="5">
        <f>0.03*raceday_22_23[[#This Row],[Export TO (AUD)]]</f>
        <v>7990.95</v>
      </c>
      <c r="AB145" s="5">
        <f>_xlfn.XLOOKUP(raceday_22_23[[#This Row],[Helper]],'Betcha Integrated'!A:A,'Betcha Integrated'!F:F, 0)</f>
        <v>604619.78539999994</v>
      </c>
      <c r="AC145" s="5">
        <f>_xlfn.XLOOKUP(raceday_22_23[[#This Row],[Helper]],'Betcha Integrated'!A:A,'Betcha Integrated'!G:G, 0)</f>
        <v>99708.43220000001</v>
      </c>
      <c r="AD145" s="5">
        <f>raceday_22_23[[#This Row],[Export Earned]]+raceday_22_23[[#This Row],[Betcha Inc. GBR]]</f>
        <v>107699.38220000001</v>
      </c>
      <c r="AE145" s="88">
        <f>ROUND(raceday_22_23[[#This Row],[Fav. Win %]]*raceday_22_23[[#This Row],[Races]], 0)</f>
        <v>3</v>
      </c>
    </row>
    <row r="146" spans="1:31" x14ac:dyDescent="0.3">
      <c r="A146" s="8">
        <v>45688</v>
      </c>
      <c r="B146" s="3" t="s">
        <v>77</v>
      </c>
      <c r="C146" s="3" t="s">
        <v>80</v>
      </c>
      <c r="D146" s="3" t="s">
        <v>81</v>
      </c>
      <c r="E146" s="3">
        <v>11</v>
      </c>
      <c r="F146" s="3">
        <v>105</v>
      </c>
      <c r="G146" s="3">
        <v>9.5</v>
      </c>
      <c r="H146" s="4">
        <v>0.45500000000000002</v>
      </c>
      <c r="I146" s="5">
        <v>174686</v>
      </c>
      <c r="J146" s="5">
        <v>15881</v>
      </c>
      <c r="K146" s="4">
        <v>0.29399999999999998</v>
      </c>
      <c r="L146" s="4">
        <v>0.182</v>
      </c>
      <c r="M146" s="5">
        <v>848385</v>
      </c>
      <c r="N146" s="5">
        <v>51345</v>
      </c>
      <c r="O146" s="5">
        <v>212383.17</v>
      </c>
      <c r="P146" s="121">
        <v>326155</v>
      </c>
      <c r="Q146" s="4">
        <v>6.0999999999999999E-2</v>
      </c>
      <c r="R146" s="4">
        <v>0.24199999999999999</v>
      </c>
      <c r="S146" s="18">
        <v>3.9950000000000001</v>
      </c>
      <c r="T146" s="10">
        <v>908437</v>
      </c>
      <c r="U146" s="10">
        <v>226670</v>
      </c>
      <c r="V146" s="11">
        <v>0.25</v>
      </c>
      <c r="W146" s="12">
        <f>IF(raceday_22_23[[#This Row],[Last Year Turnover]]=0, "No Corresponding PY Meeting", (raceday_22_23[[#This Row],[Betcha Inc. TO]]-raceday_22_23[[#This Row],[Last Year Turnover]])/raceday_22_23[[#This Row],[Last Year Turnover]])</f>
        <v>-8.3535210476906561E-3</v>
      </c>
      <c r="X146" s="3">
        <f>MONTH(raceday_22_23[[#This Row],[Raceday Date]])</f>
        <v>1</v>
      </c>
      <c r="Y14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  <c r="Z146" s="3" t="str">
        <f>raceday_22_23[[#This Row],[Raceday Date]]&amp;raceday_22_23[[#This Row],[Club]]</f>
        <v>45688NZ Metropolitan Trotting Club Inc</v>
      </c>
      <c r="AA146" s="5">
        <f>0.03*raceday_22_23[[#This Row],[Export TO (AUD)]]</f>
        <v>9784.65</v>
      </c>
      <c r="AB146" s="5">
        <f>_xlfn.XLOOKUP(raceday_22_23[[#This Row],[Helper]],'Betcha Integrated'!A:A,'Betcha Integrated'!F:F, 0)</f>
        <v>900848.35239999904</v>
      </c>
      <c r="AC146" s="5">
        <f>_xlfn.XLOOKUP(raceday_22_23[[#This Row],[Helper]],'Betcha Integrated'!A:A,'Betcha Integrated'!G:G, 0)</f>
        <v>43272.804499999897</v>
      </c>
      <c r="AD146" s="5">
        <f>raceday_22_23[[#This Row],[Export Earned]]+raceday_22_23[[#This Row],[Betcha Inc. GBR]]</f>
        <v>53057.454499999898</v>
      </c>
      <c r="AE146" s="88">
        <f>ROUND(raceday_22_23[[#This Row],[Fav. Win %]]*raceday_22_23[[#This Row],[Races]], 0)</f>
        <v>5</v>
      </c>
    </row>
    <row r="147" spans="1:31" x14ac:dyDescent="0.3">
      <c r="A147" s="8">
        <v>45690</v>
      </c>
      <c r="B147" s="3" t="s">
        <v>82</v>
      </c>
      <c r="C147" s="3" t="s">
        <v>114</v>
      </c>
      <c r="D147" s="3" t="s">
        <v>79</v>
      </c>
      <c r="E147" s="3">
        <v>10</v>
      </c>
      <c r="F147" s="3">
        <v>114</v>
      </c>
      <c r="G147" s="3">
        <v>11.4</v>
      </c>
      <c r="H147" s="4">
        <v>0.4</v>
      </c>
      <c r="I147" s="5">
        <v>131959</v>
      </c>
      <c r="J147" s="5">
        <v>13196</v>
      </c>
      <c r="K147" s="4">
        <v>0.98</v>
      </c>
      <c r="L147" s="4">
        <v>0.1</v>
      </c>
      <c r="M147" s="5">
        <v>694932</v>
      </c>
      <c r="N147" s="5">
        <v>129309</v>
      </c>
      <c r="O147" s="5">
        <v>146255.99</v>
      </c>
      <c r="P147" s="119">
        <f>_xlfn.XLOOKUP(raceday_22_23[[#This Row],[Helper]],'Betcha Integrated'!A:A,'Betcha Integrated'!H:H,0)</f>
        <v>165782</v>
      </c>
      <c r="Q147" s="4">
        <v>0.186</v>
      </c>
      <c r="R147" s="4">
        <v>0.88400000000000001</v>
      </c>
      <c r="S147" s="18">
        <v>4.7510000000000003</v>
      </c>
      <c r="T147" s="10">
        <v>744565</v>
      </c>
      <c r="U147" s="10">
        <v>86424</v>
      </c>
      <c r="V147" s="11">
        <v>0.11600000000000001</v>
      </c>
      <c r="W147" s="12">
        <f>IF(raceday_22_23[[#This Row],[Last Year Turnover]]=0, "No Corresponding PY Meeting", (raceday_22_23[[#This Row],[Betcha Inc. TO]]-raceday_22_23[[#This Row],[Last Year Turnover]])/raceday_22_23[[#This Row],[Last Year Turnover]])</f>
        <v>-2.3833278088549719E-2</v>
      </c>
      <c r="X147" s="3">
        <f>MONTH(raceday_22_23[[#This Row],[Raceday Date]])</f>
        <v>2</v>
      </c>
      <c r="Y14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47" s="3" t="str">
        <f>raceday_22_23[[#This Row],[Raceday Date]]&amp;raceday_22_23[[#This Row],[Club]]</f>
        <v>45690Hawera Harness Racing Club Inc</v>
      </c>
      <c r="AA147" s="5">
        <f>0.03*raceday_22_23[[#This Row],[Export TO (AUD)]]</f>
        <v>4973.46</v>
      </c>
      <c r="AB147" s="5">
        <f>_xlfn.XLOOKUP(raceday_22_23[[#This Row],[Helper]],'Betcha Integrated'!A:A,'Betcha Integrated'!F:F, 0)</f>
        <v>726819.57529999898</v>
      </c>
      <c r="AC147" s="5">
        <f>_xlfn.XLOOKUP(raceday_22_23[[#This Row],[Helper]],'Betcha Integrated'!A:A,'Betcha Integrated'!G:G, 0)</f>
        <v>128285.0480999999</v>
      </c>
      <c r="AD147" s="5">
        <f>raceday_22_23[[#This Row],[Export Earned]]+raceday_22_23[[#This Row],[Betcha Inc. GBR]]</f>
        <v>133258.50809999989</v>
      </c>
      <c r="AE147" s="88">
        <f>ROUND(raceday_22_23[[#This Row],[Fav. Win %]]*raceday_22_23[[#This Row],[Races]], 0)</f>
        <v>4</v>
      </c>
    </row>
    <row r="148" spans="1:31" x14ac:dyDescent="0.3">
      <c r="A148" s="8">
        <v>45690</v>
      </c>
      <c r="B148" s="3" t="s">
        <v>82</v>
      </c>
      <c r="C148" s="3" t="s">
        <v>115</v>
      </c>
      <c r="D148" s="3" t="s">
        <v>76</v>
      </c>
      <c r="E148" s="3">
        <v>11</v>
      </c>
      <c r="F148" s="3">
        <v>112</v>
      </c>
      <c r="G148" s="3">
        <v>10.199999999999999</v>
      </c>
      <c r="H148" s="4">
        <v>0.27300000000000002</v>
      </c>
      <c r="I148" s="5">
        <v>139732</v>
      </c>
      <c r="J148" s="5">
        <v>12703</v>
      </c>
      <c r="K148" s="4">
        <v>1.0049999999999999</v>
      </c>
      <c r="L148" s="4">
        <v>0.27300000000000002</v>
      </c>
      <c r="M148" s="5">
        <v>836102</v>
      </c>
      <c r="N148" s="5">
        <v>140361</v>
      </c>
      <c r="O148" s="5">
        <v>155453.74</v>
      </c>
      <c r="P148" s="119">
        <f>_xlfn.XLOOKUP(raceday_22_23[[#This Row],[Helper]],'Betcha Integrated'!A:A,'Betcha Integrated'!H:H,0)</f>
        <v>379840.34</v>
      </c>
      <c r="Q148" s="4">
        <v>0.16800000000000001</v>
      </c>
      <c r="R148" s="4">
        <v>0.90300000000000002</v>
      </c>
      <c r="S148" s="18">
        <v>5.3780000000000001</v>
      </c>
      <c r="T148" s="10">
        <v>1013255</v>
      </c>
      <c r="U148" s="10">
        <v>198398</v>
      </c>
      <c r="V148" s="11">
        <v>0.19600000000000001</v>
      </c>
      <c r="W148" s="12">
        <f>IF(raceday_22_23[[#This Row],[Last Year Turnover]]=0, "No Corresponding PY Meeting", (raceday_22_23[[#This Row],[Betcha Inc. TO]]-raceday_22_23[[#This Row],[Last Year Turnover]])/raceday_22_23[[#This Row],[Last Year Turnover]])</f>
        <v>-0.12085474426477144</v>
      </c>
      <c r="X148" s="3">
        <f>MONTH(raceday_22_23[[#This Row],[Raceday Date]])</f>
        <v>2</v>
      </c>
      <c r="Y14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48" s="3" t="str">
        <f>raceday_22_23[[#This Row],[Raceday Date]]&amp;raceday_22_23[[#This Row],[Club]]</f>
        <v>45690Waikouaiti Trotting Club Inc</v>
      </c>
      <c r="AA148" s="5">
        <f>0.03*raceday_22_23[[#This Row],[Export TO (AUD)]]</f>
        <v>11395.2102</v>
      </c>
      <c r="AB148" s="5">
        <f>_xlfn.XLOOKUP(raceday_22_23[[#This Row],[Helper]],'Betcha Integrated'!A:A,'Betcha Integrated'!F:F, 0)</f>
        <v>890798.32609999902</v>
      </c>
      <c r="AC148" s="5">
        <f>_xlfn.XLOOKUP(raceday_22_23[[#This Row],[Helper]],'Betcha Integrated'!A:A,'Betcha Integrated'!G:G, 0)</f>
        <v>145416.5009999999</v>
      </c>
      <c r="AD148" s="5">
        <f>raceday_22_23[[#This Row],[Export Earned]]+raceday_22_23[[#This Row],[Betcha Inc. GBR]]</f>
        <v>156811.7111999999</v>
      </c>
      <c r="AE148" s="88">
        <f>ROUND(raceday_22_23[[#This Row],[Fav. Win %]]*raceday_22_23[[#This Row],[Races]], 0)</f>
        <v>3</v>
      </c>
    </row>
    <row r="149" spans="1:31" x14ac:dyDescent="0.3">
      <c r="A149" s="8">
        <v>45694</v>
      </c>
      <c r="B149" s="3" t="s">
        <v>74</v>
      </c>
      <c r="C149" s="3" t="s">
        <v>116</v>
      </c>
      <c r="D149" s="3" t="s">
        <v>81</v>
      </c>
      <c r="E149" s="3">
        <v>11</v>
      </c>
      <c r="F149" s="3">
        <v>128</v>
      </c>
      <c r="G149" s="3">
        <v>11.6</v>
      </c>
      <c r="H149" s="4">
        <v>9.0999999999999998E-2</v>
      </c>
      <c r="I149" s="5">
        <v>148666</v>
      </c>
      <c r="J149" s="5">
        <v>13515</v>
      </c>
      <c r="K149" s="4">
        <v>1.5649999999999999</v>
      </c>
      <c r="L149" s="4">
        <v>0.27300000000000002</v>
      </c>
      <c r="M149" s="5">
        <v>1071438</v>
      </c>
      <c r="N149" s="5">
        <v>232705</v>
      </c>
      <c r="O149" s="5">
        <v>170986.94</v>
      </c>
      <c r="P149" s="119">
        <f>_xlfn.XLOOKUP(raceday_22_23[[#This Row],[Helper]],'Betcha Integrated'!A:A,'Betcha Integrated'!H:H,0)</f>
        <v>321957.11000000004</v>
      </c>
      <c r="Q149" s="4">
        <v>0.217</v>
      </c>
      <c r="R149" s="4">
        <v>1.361</v>
      </c>
      <c r="S149" s="18">
        <v>6.266</v>
      </c>
      <c r="T149" s="10">
        <v>1257390</v>
      </c>
      <c r="U149" s="10">
        <v>218860</v>
      </c>
      <c r="V149" s="11">
        <v>0.17399999999999999</v>
      </c>
      <c r="W149" s="12">
        <f>IF(raceday_22_23[[#This Row],[Last Year Turnover]]=0, "No Corresponding PY Meeting", (raceday_22_23[[#This Row],[Betcha Inc. TO]]-raceday_22_23[[#This Row],[Last Year Turnover]])/raceday_22_23[[#This Row],[Last Year Turnover]])</f>
        <v>-0.10215275467436596</v>
      </c>
      <c r="X149" s="3">
        <f>MONTH(raceday_22_23[[#This Row],[Raceday Date]])</f>
        <v>2</v>
      </c>
      <c r="Y14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49" s="3" t="str">
        <f>raceday_22_23[[#This Row],[Raceday Date]]&amp;raceday_22_23[[#This Row],[Club]]</f>
        <v>45694Amberley Trotting Club Inc</v>
      </c>
      <c r="AA149" s="5">
        <f>0.03*raceday_22_23[[#This Row],[Export TO (AUD)]]</f>
        <v>9658.7133000000013</v>
      </c>
      <c r="AB149" s="5">
        <f>_xlfn.XLOOKUP(raceday_22_23[[#This Row],[Helper]],'Betcha Integrated'!A:A,'Betcha Integrated'!F:F, 0)</f>
        <v>1128944.147799999</v>
      </c>
      <c r="AC149" s="5">
        <f>_xlfn.XLOOKUP(raceday_22_23[[#This Row],[Helper]],'Betcha Integrated'!A:A,'Betcha Integrated'!G:G, 0)</f>
        <v>248019.69539999991</v>
      </c>
      <c r="AD149" s="5">
        <f>raceday_22_23[[#This Row],[Export Earned]]+raceday_22_23[[#This Row],[Betcha Inc. GBR]]</f>
        <v>257678.40869999991</v>
      </c>
      <c r="AE149" s="88">
        <f>ROUND(raceday_22_23[[#This Row],[Fav. Win %]]*raceday_22_23[[#This Row],[Races]], 0)</f>
        <v>1</v>
      </c>
    </row>
    <row r="150" spans="1:31" x14ac:dyDescent="0.3">
      <c r="A150" s="8">
        <v>45695</v>
      </c>
      <c r="B150" s="3" t="s">
        <v>77</v>
      </c>
      <c r="C150" s="3" t="s">
        <v>80</v>
      </c>
      <c r="D150" s="3" t="s">
        <v>81</v>
      </c>
      <c r="E150" s="3">
        <v>8</v>
      </c>
      <c r="F150" s="3">
        <v>69</v>
      </c>
      <c r="G150" s="3">
        <v>8.6</v>
      </c>
      <c r="H150" s="4">
        <v>0.5</v>
      </c>
      <c r="I150" s="5">
        <v>232117</v>
      </c>
      <c r="J150" s="5">
        <v>29015</v>
      </c>
      <c r="K150" s="4">
        <v>0.92400000000000004</v>
      </c>
      <c r="L150" s="4">
        <v>0.25</v>
      </c>
      <c r="M150" s="5">
        <v>889291</v>
      </c>
      <c r="N150" s="5">
        <v>214488</v>
      </c>
      <c r="O150" s="5">
        <v>269814.42</v>
      </c>
      <c r="P150" s="119">
        <f>_xlfn.XLOOKUP(raceday_22_23[[#This Row],[Helper]],'Betcha Integrated'!A:A,'Betcha Integrated'!H:H,0)</f>
        <v>229336.80000000002</v>
      </c>
      <c r="Q150" s="4">
        <v>0.24099999999999999</v>
      </c>
      <c r="R150" s="4">
        <v>0.79500000000000004</v>
      </c>
      <c r="S150" s="18">
        <v>3.2959999999999998</v>
      </c>
      <c r="T150" s="10">
        <v>805332</v>
      </c>
      <c r="U150" s="10">
        <v>141983</v>
      </c>
      <c r="V150" s="11">
        <v>0.17599999999999999</v>
      </c>
      <c r="W150" s="12">
        <f>IF(raceday_22_23[[#This Row],[Last Year Turnover]]=0, "No Corresponding PY Meeting", (raceday_22_23[[#This Row],[Betcha Inc. TO]]-raceday_22_23[[#This Row],[Last Year Turnover]])/raceday_22_23[[#This Row],[Last Year Turnover]])</f>
        <v>0.17569680392682638</v>
      </c>
      <c r="X150" s="3">
        <f>MONTH(raceday_22_23[[#This Row],[Raceday Date]])</f>
        <v>2</v>
      </c>
      <c r="Y15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0" s="3" t="str">
        <f>raceday_22_23[[#This Row],[Raceday Date]]&amp;raceday_22_23[[#This Row],[Club]]</f>
        <v>45695NZ Metropolitan Trotting Club Inc</v>
      </c>
      <c r="AA150" s="5">
        <f>0.03*raceday_22_23[[#This Row],[Export TO (AUD)]]</f>
        <v>6880.1040000000003</v>
      </c>
      <c r="AB150" s="5">
        <f>_xlfn.XLOOKUP(raceday_22_23[[#This Row],[Helper]],'Betcha Integrated'!A:A,'Betcha Integrated'!F:F, 0)</f>
        <v>946826.25849999895</v>
      </c>
      <c r="AC150" s="5">
        <f>_xlfn.XLOOKUP(raceday_22_23[[#This Row],[Helper]],'Betcha Integrated'!A:A,'Betcha Integrated'!G:G, 0)</f>
        <v>231274.52469999989</v>
      </c>
      <c r="AD150" s="5">
        <f>raceday_22_23[[#This Row],[Export Earned]]+raceday_22_23[[#This Row],[Betcha Inc. GBR]]</f>
        <v>238154.62869999988</v>
      </c>
      <c r="AE150" s="88">
        <f>ROUND(raceday_22_23[[#This Row],[Fav. Win %]]*raceday_22_23[[#This Row],[Races]], 0)</f>
        <v>4</v>
      </c>
    </row>
    <row r="151" spans="1:31" x14ac:dyDescent="0.3">
      <c r="A151" s="8">
        <v>45695</v>
      </c>
      <c r="B151" s="3" t="s">
        <v>77</v>
      </c>
      <c r="C151" s="3" t="s">
        <v>78</v>
      </c>
      <c r="D151" s="3" t="s">
        <v>79</v>
      </c>
      <c r="E151" s="3">
        <v>8</v>
      </c>
      <c r="F151" s="3">
        <v>56</v>
      </c>
      <c r="G151" s="3">
        <v>7</v>
      </c>
      <c r="H151" s="4">
        <v>0.375</v>
      </c>
      <c r="I151" s="5">
        <v>110499</v>
      </c>
      <c r="J151" s="5">
        <v>13812</v>
      </c>
      <c r="K151" s="4">
        <v>1.0349999999999999</v>
      </c>
      <c r="L151" s="4">
        <v>0.25</v>
      </c>
      <c r="M151" s="5">
        <v>495535</v>
      </c>
      <c r="N151" s="5">
        <v>114345</v>
      </c>
      <c r="O151" s="5">
        <v>136905.63</v>
      </c>
      <c r="P151" s="119">
        <f>_xlfn.XLOOKUP(raceday_22_23[[#This Row],[Helper]],'Betcha Integrated'!A:A,'Betcha Integrated'!H:H,0)</f>
        <v>183363.44</v>
      </c>
      <c r="Q151" s="4">
        <v>0.23100000000000001</v>
      </c>
      <c r="R151" s="4">
        <v>0.83499999999999996</v>
      </c>
      <c r="S151" s="18">
        <v>3.62</v>
      </c>
      <c r="T151" s="10">
        <v>668215</v>
      </c>
      <c r="U151" s="10">
        <v>80590</v>
      </c>
      <c r="V151" s="11">
        <v>0.121</v>
      </c>
      <c r="W151" s="12">
        <f>IF(raceday_22_23[[#This Row],[Last Year Turnover]]=0, "No Corresponding PY Meeting", (raceday_22_23[[#This Row],[Betcha Inc. TO]]-raceday_22_23[[#This Row],[Last Year Turnover]])/raceday_22_23[[#This Row],[Last Year Turnover]])</f>
        <v>-0.2098374497729025</v>
      </c>
      <c r="X151" s="3">
        <f>MONTH(raceday_22_23[[#This Row],[Raceday Date]])</f>
        <v>2</v>
      </c>
      <c r="Y15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1" s="3" t="str">
        <f>raceday_22_23[[#This Row],[Raceday Date]]&amp;raceday_22_23[[#This Row],[Club]]</f>
        <v>45695Auckland Trotting Club Inc</v>
      </c>
      <c r="AA151" s="5">
        <f>0.03*raceday_22_23[[#This Row],[Export TO (AUD)]]</f>
        <v>5500.9031999999997</v>
      </c>
      <c r="AB151" s="5">
        <f>_xlfn.XLOOKUP(raceday_22_23[[#This Row],[Helper]],'Betcha Integrated'!A:A,'Betcha Integrated'!F:F, 0)</f>
        <v>527998.46849999996</v>
      </c>
      <c r="AC151" s="5">
        <f>_xlfn.XLOOKUP(raceday_22_23[[#This Row],[Helper]],'Betcha Integrated'!A:A,'Betcha Integrated'!G:G, 0)</f>
        <v>125825.8333</v>
      </c>
      <c r="AD151" s="5">
        <f>raceday_22_23[[#This Row],[Export Earned]]+raceday_22_23[[#This Row],[Betcha Inc. GBR]]</f>
        <v>131326.7365</v>
      </c>
      <c r="AE151" s="88">
        <f>ROUND(raceday_22_23[[#This Row],[Fav. Win %]]*raceday_22_23[[#This Row],[Races]], 0)</f>
        <v>3</v>
      </c>
    </row>
    <row r="152" spans="1:31" x14ac:dyDescent="0.3">
      <c r="A152" s="8">
        <v>45697</v>
      </c>
      <c r="B152" s="3" t="s">
        <v>82</v>
      </c>
      <c r="C152" s="3" t="s">
        <v>117</v>
      </c>
      <c r="D152" s="3" t="s">
        <v>81</v>
      </c>
      <c r="E152" s="3">
        <v>10</v>
      </c>
      <c r="F152" s="3">
        <v>106</v>
      </c>
      <c r="G152" s="3">
        <v>10.6</v>
      </c>
      <c r="H152" s="4">
        <v>0.4</v>
      </c>
      <c r="I152" s="5">
        <v>120019</v>
      </c>
      <c r="J152" s="5">
        <v>12002</v>
      </c>
      <c r="K152" s="4">
        <v>1.5349999999999999</v>
      </c>
      <c r="L152" s="4">
        <v>0.1</v>
      </c>
      <c r="M152" s="5">
        <v>702514</v>
      </c>
      <c r="N152" s="5">
        <v>184205</v>
      </c>
      <c r="O152" s="5">
        <v>137343.74</v>
      </c>
      <c r="P152" s="119">
        <f>_xlfn.XLOOKUP(raceday_22_23[[#This Row],[Helper]],'Betcha Integrated'!A:A,'Betcha Integrated'!H:H,0)</f>
        <v>191605.46000000002</v>
      </c>
      <c r="Q152" s="4">
        <v>0.26200000000000001</v>
      </c>
      <c r="R152" s="4">
        <v>1.341</v>
      </c>
      <c r="S152" s="18">
        <v>5.1150000000000002</v>
      </c>
      <c r="T152" s="10">
        <v>808923</v>
      </c>
      <c r="U152" s="10">
        <v>105990</v>
      </c>
      <c r="V152" s="11">
        <v>0.13100000000000001</v>
      </c>
      <c r="W152" s="12">
        <f>IF(raceday_22_23[[#This Row],[Last Year Turnover]]=0, "No Corresponding PY Meeting", (raceday_22_23[[#This Row],[Betcha Inc. TO]]-raceday_22_23[[#This Row],[Last Year Turnover]])/raceday_22_23[[#This Row],[Last Year Turnover]])</f>
        <v>-9.2508873526900515E-2</v>
      </c>
      <c r="X152" s="3">
        <f>MONTH(raceday_22_23[[#This Row],[Raceday Date]])</f>
        <v>2</v>
      </c>
      <c r="Y15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2" s="3" t="str">
        <f>raceday_22_23[[#This Row],[Raceday Date]]&amp;raceday_22_23[[#This Row],[Club]]</f>
        <v>45697Hororata Trotting Club Inc</v>
      </c>
      <c r="AA152" s="5">
        <f>0.03*raceday_22_23[[#This Row],[Export TO (AUD)]]</f>
        <v>5748.1638000000003</v>
      </c>
      <c r="AB152" s="5">
        <f>_xlfn.XLOOKUP(raceday_22_23[[#This Row],[Helper]],'Betcha Integrated'!A:A,'Betcha Integrated'!F:F, 0)</f>
        <v>734090.44449999905</v>
      </c>
      <c r="AC152" s="5">
        <f>_xlfn.XLOOKUP(raceday_22_23[[#This Row],[Helper]],'Betcha Integrated'!A:A,'Betcha Integrated'!G:G, 0)</f>
        <v>192491.07959999991</v>
      </c>
      <c r="AD152" s="5">
        <f>raceday_22_23[[#This Row],[Export Earned]]+raceday_22_23[[#This Row],[Betcha Inc. GBR]]</f>
        <v>198239.24339999992</v>
      </c>
      <c r="AE152" s="88">
        <f>ROUND(raceday_22_23[[#This Row],[Fav. Win %]]*raceday_22_23[[#This Row],[Races]], 0)</f>
        <v>4</v>
      </c>
    </row>
    <row r="153" spans="1:31" x14ac:dyDescent="0.3">
      <c r="A153" s="8">
        <v>45697</v>
      </c>
      <c r="B153" s="3" t="s">
        <v>82</v>
      </c>
      <c r="C153" s="3" t="s">
        <v>118</v>
      </c>
      <c r="D153" s="3" t="s">
        <v>76</v>
      </c>
      <c r="E153" s="3">
        <v>12</v>
      </c>
      <c r="F153" s="3">
        <v>134</v>
      </c>
      <c r="G153" s="3">
        <v>11.2</v>
      </c>
      <c r="H153" s="4">
        <v>0.16700000000000001</v>
      </c>
      <c r="I153" s="5">
        <v>184496</v>
      </c>
      <c r="J153" s="5">
        <v>15375</v>
      </c>
      <c r="K153" s="4">
        <v>1.1870000000000001</v>
      </c>
      <c r="L153" s="4">
        <v>0</v>
      </c>
      <c r="M153" s="5">
        <v>826102</v>
      </c>
      <c r="N153" s="5">
        <v>219062</v>
      </c>
      <c r="O153" s="5">
        <v>201716.24</v>
      </c>
      <c r="P153" s="119">
        <f>_xlfn.XLOOKUP(raceday_22_23[[#This Row],[Helper]],'Betcha Integrated'!A:A,'Betcha Integrated'!H:H,0)</f>
        <v>262862.26</v>
      </c>
      <c r="Q153" s="4">
        <v>0.26500000000000001</v>
      </c>
      <c r="R153" s="4">
        <v>1.0860000000000001</v>
      </c>
      <c r="S153" s="18">
        <v>4.0949999999999998</v>
      </c>
      <c r="T153" s="10">
        <v>792735</v>
      </c>
      <c r="U153" s="10">
        <v>142005</v>
      </c>
      <c r="V153" s="11">
        <v>0.17899999999999999</v>
      </c>
      <c r="W153" s="12">
        <f>IF(raceday_22_23[[#This Row],[Last Year Turnover]]=0, "No Corresponding PY Meeting", (raceday_22_23[[#This Row],[Betcha Inc. TO]]-raceday_22_23[[#This Row],[Last Year Turnover]])/raceday_22_23[[#This Row],[Last Year Turnover]])</f>
        <v>8.330646571678936E-2</v>
      </c>
      <c r="X153" s="3">
        <f>MONTH(raceday_22_23[[#This Row],[Raceday Date]])</f>
        <v>2</v>
      </c>
      <c r="Y15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3" s="3" t="str">
        <f>raceday_22_23[[#This Row],[Raceday Date]]&amp;raceday_22_23[[#This Row],[Club]]</f>
        <v>45697Wairio Trotting Club Inc</v>
      </c>
      <c r="AA153" s="5">
        <f>0.03*raceday_22_23[[#This Row],[Export TO (AUD)]]</f>
        <v>7885.8678</v>
      </c>
      <c r="AB153" s="5">
        <f>_xlfn.XLOOKUP(raceday_22_23[[#This Row],[Helper]],'Betcha Integrated'!A:A,'Betcha Integrated'!F:F, 0)</f>
        <v>858774.95109999902</v>
      </c>
      <c r="AC153" s="5">
        <f>_xlfn.XLOOKUP(raceday_22_23[[#This Row],[Helper]],'Betcha Integrated'!A:A,'Betcha Integrated'!G:G, 0)</f>
        <v>228597.14899999992</v>
      </c>
      <c r="AD153" s="5">
        <f>raceday_22_23[[#This Row],[Export Earned]]+raceday_22_23[[#This Row],[Betcha Inc. GBR]]</f>
        <v>236483.01679999992</v>
      </c>
      <c r="AE153" s="88">
        <f>ROUND(raceday_22_23[[#This Row],[Fav. Win %]]*raceday_22_23[[#This Row],[Races]], 0)</f>
        <v>2</v>
      </c>
    </row>
    <row r="154" spans="1:31" x14ac:dyDescent="0.3">
      <c r="A154" s="8">
        <v>45699</v>
      </c>
      <c r="B154" s="3" t="s">
        <v>83</v>
      </c>
      <c r="C154" s="3" t="s">
        <v>101</v>
      </c>
      <c r="D154" s="3" t="s">
        <v>79</v>
      </c>
      <c r="E154" s="3">
        <v>8</v>
      </c>
      <c r="F154" s="3">
        <v>61</v>
      </c>
      <c r="G154" s="3">
        <v>7.6</v>
      </c>
      <c r="H154" s="4">
        <v>0.5</v>
      </c>
      <c r="I154" s="5">
        <v>81201</v>
      </c>
      <c r="J154" s="5">
        <v>10150</v>
      </c>
      <c r="K154" s="4">
        <v>0.72399999999999998</v>
      </c>
      <c r="L154" s="4">
        <v>0</v>
      </c>
      <c r="M154" s="5">
        <v>347928</v>
      </c>
      <c r="N154" s="5">
        <v>58790</v>
      </c>
      <c r="O154" s="5">
        <v>95518.8</v>
      </c>
      <c r="P154" s="119">
        <f>_xlfn.XLOOKUP(raceday_22_23[[#This Row],[Helper]],'Betcha Integrated'!A:A,'Betcha Integrated'!H:H,0)</f>
        <v>260683.32</v>
      </c>
      <c r="Q154" s="4">
        <v>0.16900000000000001</v>
      </c>
      <c r="R154" s="4">
        <v>0.61499999999999999</v>
      </c>
      <c r="S154" s="18">
        <v>3.6429999999999998</v>
      </c>
      <c r="T154" s="10">
        <v>348903</v>
      </c>
      <c r="U154" s="10">
        <v>94919</v>
      </c>
      <c r="V154" s="11">
        <v>0.27200000000000002</v>
      </c>
      <c r="W154" s="12">
        <f>IF(raceday_22_23[[#This Row],[Last Year Turnover]]=0, "No Corresponding PY Meeting", (raceday_22_23[[#This Row],[Betcha Inc. TO]]-raceday_22_23[[#This Row],[Last Year Turnover]])/raceday_22_23[[#This Row],[Last Year Turnover]])</f>
        <v>8.8687982619808342E-2</v>
      </c>
      <c r="X154" s="3">
        <f>MONTH(raceday_22_23[[#This Row],[Raceday Date]])</f>
        <v>2</v>
      </c>
      <c r="Y15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4" s="3" t="str">
        <f>raceday_22_23[[#This Row],[Raceday Date]]&amp;raceday_22_23[[#This Row],[Club]]</f>
        <v>45699Manawatu Harness Racing Club Inc</v>
      </c>
      <c r="AA154" s="5">
        <f>0.03*raceday_22_23[[#This Row],[Export TO (AUD)]]</f>
        <v>7820.4996000000001</v>
      </c>
      <c r="AB154" s="5">
        <f>_xlfn.XLOOKUP(raceday_22_23[[#This Row],[Helper]],'Betcha Integrated'!A:A,'Betcha Integrated'!F:F, 0)</f>
        <v>379846.50319999899</v>
      </c>
      <c r="AC154" s="5">
        <f>_xlfn.XLOOKUP(raceday_22_23[[#This Row],[Helper]],'Betcha Integrated'!A:A,'Betcha Integrated'!G:G, 0)</f>
        <v>63078.918799999898</v>
      </c>
      <c r="AD154" s="5">
        <f>raceday_22_23[[#This Row],[Export Earned]]+raceday_22_23[[#This Row],[Betcha Inc. GBR]]</f>
        <v>70899.418399999893</v>
      </c>
      <c r="AE154" s="88">
        <f>ROUND(raceday_22_23[[#This Row],[Fav. Win %]]*raceday_22_23[[#This Row],[Races]], 0)</f>
        <v>4</v>
      </c>
    </row>
    <row r="155" spans="1:31" x14ac:dyDescent="0.3">
      <c r="A155" s="8">
        <v>45701</v>
      </c>
      <c r="B155" s="3" t="s">
        <v>74</v>
      </c>
      <c r="C155" s="3" t="s">
        <v>101</v>
      </c>
      <c r="D155" s="3" t="s">
        <v>79</v>
      </c>
      <c r="E155" s="3">
        <v>8</v>
      </c>
      <c r="F155" s="3">
        <v>56</v>
      </c>
      <c r="G155" s="3">
        <v>7</v>
      </c>
      <c r="H155" s="4">
        <v>0.625</v>
      </c>
      <c r="I155" s="5">
        <v>83301</v>
      </c>
      <c r="J155" s="5">
        <v>10413</v>
      </c>
      <c r="K155" s="4">
        <v>0.437</v>
      </c>
      <c r="L155" s="4">
        <v>0.25</v>
      </c>
      <c r="M155" s="5">
        <v>323654</v>
      </c>
      <c r="N155" s="5">
        <v>36417</v>
      </c>
      <c r="O155" s="5">
        <v>104118.8</v>
      </c>
      <c r="P155" s="119">
        <f>_xlfn.XLOOKUP(raceday_22_23[[#This Row],[Helper]],'Betcha Integrated'!A:A,'Betcha Integrated'!H:H,0)</f>
        <v>226862.03</v>
      </c>
      <c r="Q155" s="4">
        <v>0.113</v>
      </c>
      <c r="R155" s="4">
        <v>0.35</v>
      </c>
      <c r="S155" s="18">
        <v>3.109</v>
      </c>
      <c r="T155" s="10">
        <v>480611</v>
      </c>
      <c r="U155" s="10">
        <v>-43795</v>
      </c>
      <c r="V155" s="11">
        <v>-9.0999999999999998E-2</v>
      </c>
      <c r="W155" s="12">
        <f>IF(raceday_22_23[[#This Row],[Last Year Turnover]]=0, "No Corresponding PY Meeting", (raceday_22_23[[#This Row],[Betcha Inc. TO]]-raceday_22_23[[#This Row],[Last Year Turnover]])/raceday_22_23[[#This Row],[Last Year Turnover]])</f>
        <v>-0.27178066502847625</v>
      </c>
      <c r="X155" s="3">
        <f>MONTH(raceday_22_23[[#This Row],[Raceday Date]])</f>
        <v>2</v>
      </c>
      <c r="Y15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5" s="3" t="str">
        <f>raceday_22_23[[#This Row],[Raceday Date]]&amp;raceday_22_23[[#This Row],[Club]]</f>
        <v>45701Manawatu Harness Racing Club Inc</v>
      </c>
      <c r="AA155" s="5">
        <f>0.03*raceday_22_23[[#This Row],[Export TO (AUD)]]</f>
        <v>6805.8608999999997</v>
      </c>
      <c r="AB155" s="5">
        <f>_xlfn.XLOOKUP(raceday_22_23[[#This Row],[Helper]],'Betcha Integrated'!A:A,'Betcha Integrated'!F:F, 0)</f>
        <v>349990.222799999</v>
      </c>
      <c r="AC155" s="5">
        <f>_xlfn.XLOOKUP(raceday_22_23[[#This Row],[Helper]],'Betcha Integrated'!A:A,'Betcha Integrated'!G:G, 0)</f>
        <v>36126.164999999899</v>
      </c>
      <c r="AD155" s="5">
        <f>raceday_22_23[[#This Row],[Export Earned]]+raceday_22_23[[#This Row],[Betcha Inc. GBR]]</f>
        <v>42932.025899999899</v>
      </c>
      <c r="AE155" s="88">
        <f>ROUND(raceday_22_23[[#This Row],[Fav. Win %]]*raceday_22_23[[#This Row],[Races]], 0)</f>
        <v>5</v>
      </c>
    </row>
    <row r="156" spans="1:31" x14ac:dyDescent="0.3">
      <c r="A156" s="8">
        <v>45702</v>
      </c>
      <c r="B156" s="3" t="s">
        <v>77</v>
      </c>
      <c r="C156" s="3" t="s">
        <v>78</v>
      </c>
      <c r="D156" s="3" t="s">
        <v>79</v>
      </c>
      <c r="E156" s="3">
        <v>8</v>
      </c>
      <c r="F156" s="3">
        <v>54</v>
      </c>
      <c r="G156" s="3">
        <v>6.8</v>
      </c>
      <c r="H156" s="4">
        <v>0.25</v>
      </c>
      <c r="I156" s="5">
        <v>121541</v>
      </c>
      <c r="J156" s="5">
        <v>15193</v>
      </c>
      <c r="K156" s="4">
        <v>0.95</v>
      </c>
      <c r="L156" s="4">
        <v>0.25</v>
      </c>
      <c r="M156" s="5">
        <v>441638</v>
      </c>
      <c r="N156" s="5">
        <v>115495</v>
      </c>
      <c r="O156" s="5">
        <v>147840.63</v>
      </c>
      <c r="P156" s="119">
        <f>_xlfn.XLOOKUP(raceday_22_23[[#This Row],[Helper]],'Betcha Integrated'!A:A,'Betcha Integrated'!H:H,0)</f>
        <v>138960.59</v>
      </c>
      <c r="Q156" s="4">
        <v>0.26200000000000001</v>
      </c>
      <c r="R156" s="4">
        <v>0.78100000000000003</v>
      </c>
      <c r="S156" s="18">
        <v>2.9870000000000001</v>
      </c>
      <c r="T156" s="10">
        <v>967147</v>
      </c>
      <c r="U156" s="10">
        <v>151828</v>
      </c>
      <c r="V156" s="11">
        <v>0.157</v>
      </c>
      <c r="W156" s="12">
        <f>IF(raceday_22_23[[#This Row],[Last Year Turnover]]=0, "No Corresponding PY Meeting", (raceday_22_23[[#This Row],[Betcha Inc. TO]]-raceday_22_23[[#This Row],[Last Year Turnover]])/raceday_22_23[[#This Row],[Last Year Turnover]])</f>
        <v>-0.49612587569418198</v>
      </c>
      <c r="X156" s="3">
        <f>MONTH(raceday_22_23[[#This Row],[Raceday Date]])</f>
        <v>2</v>
      </c>
      <c r="Y15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6" s="3" t="str">
        <f>raceday_22_23[[#This Row],[Raceday Date]]&amp;raceday_22_23[[#This Row],[Club]]</f>
        <v>45702Auckland Trotting Club Inc</v>
      </c>
      <c r="AA156" s="5">
        <f>0.03*raceday_22_23[[#This Row],[Export TO (AUD)]]</f>
        <v>4168.8176999999996</v>
      </c>
      <c r="AB156" s="5">
        <f>_xlfn.XLOOKUP(raceday_22_23[[#This Row],[Helper]],'Betcha Integrated'!A:A,'Betcha Integrated'!F:F, 0)</f>
        <v>487320.34769999899</v>
      </c>
      <c r="AC156" s="5">
        <f>_xlfn.XLOOKUP(raceday_22_23[[#This Row],[Helper]],'Betcha Integrated'!A:A,'Betcha Integrated'!G:G, 0)</f>
        <v>117866.15069999991</v>
      </c>
      <c r="AD156" s="5">
        <f>raceday_22_23[[#This Row],[Export Earned]]+raceday_22_23[[#This Row],[Betcha Inc. GBR]]</f>
        <v>122034.96839999991</v>
      </c>
      <c r="AE156" s="88">
        <f>ROUND(raceday_22_23[[#This Row],[Fav. Win %]]*raceday_22_23[[#This Row],[Races]], 0)</f>
        <v>2</v>
      </c>
    </row>
    <row r="157" spans="1:31" x14ac:dyDescent="0.3">
      <c r="A157" s="8">
        <v>45702</v>
      </c>
      <c r="B157" s="3" t="s">
        <v>77</v>
      </c>
      <c r="C157" s="3" t="s">
        <v>80</v>
      </c>
      <c r="D157" s="3" t="s">
        <v>81</v>
      </c>
      <c r="E157" s="3">
        <v>11</v>
      </c>
      <c r="F157" s="3">
        <v>110</v>
      </c>
      <c r="G157" s="3">
        <v>10</v>
      </c>
      <c r="H157" s="4">
        <v>0.27300000000000002</v>
      </c>
      <c r="I157" s="5">
        <v>187210</v>
      </c>
      <c r="J157" s="5">
        <v>17019</v>
      </c>
      <c r="K157" s="4">
        <v>0.627</v>
      </c>
      <c r="L157" s="4">
        <v>9.0999999999999998E-2</v>
      </c>
      <c r="M157" s="5">
        <v>891889</v>
      </c>
      <c r="N157" s="5">
        <v>117346</v>
      </c>
      <c r="O157" s="5">
        <v>225116.92</v>
      </c>
      <c r="P157" s="119">
        <f>_xlfn.XLOOKUP(raceday_22_23[[#This Row],[Helper]],'Betcha Integrated'!A:A,'Betcha Integrated'!H:H,0)</f>
        <v>279835.05000000005</v>
      </c>
      <c r="Q157" s="4">
        <v>0.13200000000000001</v>
      </c>
      <c r="R157" s="4">
        <v>0.52100000000000002</v>
      </c>
      <c r="S157" s="18">
        <v>3.9620000000000002</v>
      </c>
      <c r="T157" s="10">
        <v>872915</v>
      </c>
      <c r="U157" s="10">
        <v>192229</v>
      </c>
      <c r="V157" s="11">
        <v>0.22</v>
      </c>
      <c r="W157" s="12">
        <f>IF(raceday_22_23[[#This Row],[Last Year Turnover]]=0, "No Corresponding PY Meeting", (raceday_22_23[[#This Row],[Betcha Inc. TO]]-raceday_22_23[[#This Row],[Last Year Turnover]])/raceday_22_23[[#This Row],[Last Year Turnover]])</f>
        <v>0.12013254039625733</v>
      </c>
      <c r="X157" s="3">
        <f>MONTH(raceday_22_23[[#This Row],[Raceday Date]])</f>
        <v>2</v>
      </c>
      <c r="Y15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7" s="3" t="str">
        <f>raceday_22_23[[#This Row],[Raceday Date]]&amp;raceday_22_23[[#This Row],[Club]]</f>
        <v>45702NZ Metropolitan Trotting Club Inc</v>
      </c>
      <c r="AA157" s="5">
        <f>0.03*raceday_22_23[[#This Row],[Export TO (AUD)]]</f>
        <v>8395.0515000000014</v>
      </c>
      <c r="AB157" s="5">
        <f>_xlfn.XLOOKUP(raceday_22_23[[#This Row],[Helper]],'Betcha Integrated'!A:A,'Betcha Integrated'!F:F, 0)</f>
        <v>977780.49649999896</v>
      </c>
      <c r="AC157" s="5">
        <f>_xlfn.XLOOKUP(raceday_22_23[[#This Row],[Helper]],'Betcha Integrated'!A:A,'Betcha Integrated'!G:G, 0)</f>
        <v>112541.73029999991</v>
      </c>
      <c r="AD157" s="5">
        <f>raceday_22_23[[#This Row],[Export Earned]]+raceday_22_23[[#This Row],[Betcha Inc. GBR]]</f>
        <v>120936.78179999991</v>
      </c>
      <c r="AE157" s="88">
        <f>ROUND(raceday_22_23[[#This Row],[Fav. Win %]]*raceday_22_23[[#This Row],[Races]], 0)</f>
        <v>3</v>
      </c>
    </row>
    <row r="158" spans="1:31" x14ac:dyDescent="0.3">
      <c r="A158" s="8">
        <v>45704</v>
      </c>
      <c r="B158" s="3" t="s">
        <v>82</v>
      </c>
      <c r="C158" s="3" t="s">
        <v>88</v>
      </c>
      <c r="D158" s="3" t="s">
        <v>76</v>
      </c>
      <c r="E158" s="3">
        <v>12</v>
      </c>
      <c r="F158" s="3">
        <v>136</v>
      </c>
      <c r="G158" s="3">
        <v>11.3</v>
      </c>
      <c r="H158" s="4">
        <v>0.33300000000000002</v>
      </c>
      <c r="I158" s="5">
        <v>150445</v>
      </c>
      <c r="J158" s="5">
        <v>12537</v>
      </c>
      <c r="K158" s="4">
        <v>1.135</v>
      </c>
      <c r="L158" s="4">
        <v>0.25</v>
      </c>
      <c r="M158" s="5">
        <v>856653</v>
      </c>
      <c r="N158" s="5">
        <v>170827</v>
      </c>
      <c r="O158" s="5">
        <v>155132</v>
      </c>
      <c r="P158" s="119">
        <f>_xlfn.XLOOKUP(raceday_22_23[[#This Row],[Helper]],'Betcha Integrated'!A:A,'Betcha Integrated'!H:H,0)</f>
        <v>262008.83999999997</v>
      </c>
      <c r="Q158" s="4">
        <v>0.19900000000000001</v>
      </c>
      <c r="R158" s="4">
        <v>1.101</v>
      </c>
      <c r="S158" s="18">
        <v>5.5220000000000002</v>
      </c>
      <c r="T158" s="10">
        <v>1058559</v>
      </c>
      <c r="U158" s="10">
        <v>333939</v>
      </c>
      <c r="V158" s="11">
        <v>0.315</v>
      </c>
      <c r="W158" s="12">
        <f>IF(raceday_22_23[[#This Row],[Last Year Turnover]]=0, "No Corresponding PY Meeting", (raceday_22_23[[#This Row],[Betcha Inc. TO]]-raceday_22_23[[#This Row],[Last Year Turnover]])/raceday_22_23[[#This Row],[Last Year Turnover]])</f>
        <v>-0.1535415031188635</v>
      </c>
      <c r="X158" s="3">
        <f>MONTH(raceday_22_23[[#This Row],[Raceday Date]])</f>
        <v>2</v>
      </c>
      <c r="Y15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8" s="3" t="str">
        <f>raceday_22_23[[#This Row],[Raceday Date]]&amp;raceday_22_23[[#This Row],[Club]]</f>
        <v>45704Gore Harness Racing Club Inc</v>
      </c>
      <c r="AA158" s="5">
        <f>0.03*raceday_22_23[[#This Row],[Export TO (AUD)]]</f>
        <v>7860.2651999999989</v>
      </c>
      <c r="AB158" s="5">
        <f>_xlfn.XLOOKUP(raceday_22_23[[#This Row],[Helper]],'Betcha Integrated'!A:A,'Betcha Integrated'!F:F, 0)</f>
        <v>896026.25999999896</v>
      </c>
      <c r="AC158" s="5">
        <f>_xlfn.XLOOKUP(raceday_22_23[[#This Row],[Helper]],'Betcha Integrated'!A:A,'Betcha Integrated'!G:G, 0)</f>
        <v>184593.83289999992</v>
      </c>
      <c r="AD158" s="5">
        <f>raceday_22_23[[#This Row],[Export Earned]]+raceday_22_23[[#This Row],[Betcha Inc. GBR]]</f>
        <v>192454.09809999992</v>
      </c>
      <c r="AE158" s="88">
        <f>ROUND(raceday_22_23[[#This Row],[Fav. Win %]]*raceday_22_23[[#This Row],[Races]], 0)</f>
        <v>4</v>
      </c>
    </row>
    <row r="159" spans="1:31" x14ac:dyDescent="0.3">
      <c r="A159" s="8">
        <v>45704</v>
      </c>
      <c r="B159" s="3" t="s">
        <v>82</v>
      </c>
      <c r="C159" s="3" t="s">
        <v>94</v>
      </c>
      <c r="D159" s="3" t="s">
        <v>81</v>
      </c>
      <c r="E159" s="3">
        <v>11</v>
      </c>
      <c r="F159" s="3">
        <v>138</v>
      </c>
      <c r="G159" s="3">
        <v>12.5</v>
      </c>
      <c r="H159" s="4">
        <v>9.0999999999999998E-2</v>
      </c>
      <c r="I159" s="5">
        <v>124102</v>
      </c>
      <c r="J159" s="5">
        <v>11282</v>
      </c>
      <c r="K159" s="4">
        <v>2.0990000000000002</v>
      </c>
      <c r="L159" s="4">
        <v>0.27300000000000002</v>
      </c>
      <c r="M159" s="5">
        <v>969141</v>
      </c>
      <c r="N159" s="5">
        <v>260549</v>
      </c>
      <c r="O159" s="5">
        <v>168577.83</v>
      </c>
      <c r="P159" s="119">
        <f>_xlfn.XLOOKUP(raceday_22_23[[#This Row],[Helper]],'Betcha Integrated'!A:A,'Betcha Integrated'!H:H,0)</f>
        <v>226924.37</v>
      </c>
      <c r="Q159" s="4">
        <v>0.26900000000000002</v>
      </c>
      <c r="R159" s="4">
        <v>1.546</v>
      </c>
      <c r="S159" s="18">
        <v>5.7489999999999997</v>
      </c>
      <c r="T159" s="10">
        <v>1071851</v>
      </c>
      <c r="U159" s="10">
        <v>161881</v>
      </c>
      <c r="V159" s="11">
        <v>0.151</v>
      </c>
      <c r="W159" s="12">
        <f>IF(raceday_22_23[[#This Row],[Last Year Turnover]]=0, "No Corresponding PY Meeting", (raceday_22_23[[#This Row],[Betcha Inc. TO]]-raceday_22_23[[#This Row],[Last Year Turnover]])/raceday_22_23[[#This Row],[Last Year Turnover]])</f>
        <v>-6.0738413361559558E-2</v>
      </c>
      <c r="X159" s="3">
        <f>MONTH(raceday_22_23[[#This Row],[Raceday Date]])</f>
        <v>2</v>
      </c>
      <c r="Y15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59" s="3" t="str">
        <f>raceday_22_23[[#This Row],[Raceday Date]]&amp;raceday_22_23[[#This Row],[Club]]</f>
        <v>45704Banks Peninsula Trotting Club Inc</v>
      </c>
      <c r="AA159" s="5">
        <f>0.03*raceday_22_23[[#This Row],[Export TO (AUD)]]</f>
        <v>6807.7311</v>
      </c>
      <c r="AB159" s="5">
        <f>_xlfn.XLOOKUP(raceday_22_23[[#This Row],[Helper]],'Betcha Integrated'!A:A,'Betcha Integrated'!F:F, 0)</f>
        <v>1006748.470899999</v>
      </c>
      <c r="AC159" s="5">
        <f>_xlfn.XLOOKUP(raceday_22_23[[#This Row],[Helper]],'Betcha Integrated'!A:A,'Betcha Integrated'!G:G, 0)</f>
        <v>279717.73249999899</v>
      </c>
      <c r="AD159" s="5">
        <f>raceday_22_23[[#This Row],[Export Earned]]+raceday_22_23[[#This Row],[Betcha Inc. GBR]]</f>
        <v>286525.46359999897</v>
      </c>
      <c r="AE159" s="88">
        <f>ROUND(raceday_22_23[[#This Row],[Fav. Win %]]*raceday_22_23[[#This Row],[Races]], 0)</f>
        <v>1</v>
      </c>
    </row>
    <row r="160" spans="1:31" x14ac:dyDescent="0.3">
      <c r="A160" s="8">
        <v>45708</v>
      </c>
      <c r="B160" s="3" t="s">
        <v>74</v>
      </c>
      <c r="C160" s="3" t="s">
        <v>80</v>
      </c>
      <c r="D160" s="3" t="s">
        <v>81</v>
      </c>
      <c r="E160" s="3">
        <v>9</v>
      </c>
      <c r="F160" s="3">
        <v>79</v>
      </c>
      <c r="G160" s="3">
        <v>8.8000000000000007</v>
      </c>
      <c r="H160" s="4">
        <v>0.55600000000000005</v>
      </c>
      <c r="I160" s="5">
        <v>159561</v>
      </c>
      <c r="J160" s="5">
        <v>17729</v>
      </c>
      <c r="K160" s="4">
        <v>0.621</v>
      </c>
      <c r="L160" s="4">
        <v>0.111</v>
      </c>
      <c r="M160" s="5">
        <v>656814</v>
      </c>
      <c r="N160" s="5">
        <v>99098</v>
      </c>
      <c r="O160" s="5">
        <v>197256.92</v>
      </c>
      <c r="P160" s="119">
        <f>_xlfn.XLOOKUP(raceday_22_23[[#This Row],[Helper]],'Betcha Integrated'!A:A,'Betcha Integrated'!H:H,0)</f>
        <v>284068.82</v>
      </c>
      <c r="Q160" s="4">
        <v>0.151</v>
      </c>
      <c r="R160" s="4">
        <v>0.502</v>
      </c>
      <c r="S160" s="18">
        <v>3.33</v>
      </c>
      <c r="T160" s="10">
        <v>754338</v>
      </c>
      <c r="U160" s="10">
        <v>130254</v>
      </c>
      <c r="V160" s="11">
        <v>0.17299999999999999</v>
      </c>
      <c r="W160" s="12">
        <f>IF(raceday_22_23[[#This Row],[Last Year Turnover]]=0, "No Corresponding PY Meeting", (raceday_22_23[[#This Row],[Betcha Inc. TO]]-raceday_22_23[[#This Row],[Last Year Turnover]])/raceday_22_23[[#This Row],[Last Year Turnover]])</f>
        <v>-5.8666920266513205E-2</v>
      </c>
      <c r="X160" s="3">
        <f>MONTH(raceday_22_23[[#This Row],[Raceday Date]])</f>
        <v>2</v>
      </c>
      <c r="Y16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0" s="3" t="str">
        <f>raceday_22_23[[#This Row],[Raceday Date]]&amp;raceday_22_23[[#This Row],[Club]]</f>
        <v>45708NZ Metropolitan Trotting Club Inc</v>
      </c>
      <c r="AA160" s="5">
        <f>0.03*raceday_22_23[[#This Row],[Export TO (AUD)]]</f>
        <v>8522.0645999999997</v>
      </c>
      <c r="AB160" s="5">
        <f>_xlfn.XLOOKUP(raceday_22_23[[#This Row],[Helper]],'Betcha Integrated'!A:A,'Betcha Integrated'!F:F, 0)</f>
        <v>710083.31269999896</v>
      </c>
      <c r="AC160" s="5">
        <f>_xlfn.XLOOKUP(raceday_22_23[[#This Row],[Helper]],'Betcha Integrated'!A:A,'Betcha Integrated'!G:G, 0)</f>
        <v>101187.2236999999</v>
      </c>
      <c r="AD160" s="5">
        <f>raceday_22_23[[#This Row],[Export Earned]]+raceday_22_23[[#This Row],[Betcha Inc. GBR]]</f>
        <v>109709.2882999999</v>
      </c>
      <c r="AE160" s="88">
        <f>ROUND(raceday_22_23[[#This Row],[Fav. Win %]]*raceday_22_23[[#This Row],[Races]], 0)</f>
        <v>5</v>
      </c>
    </row>
    <row r="161" spans="1:31" x14ac:dyDescent="0.3">
      <c r="A161" s="8">
        <v>45709</v>
      </c>
      <c r="B161" s="3" t="s">
        <v>77</v>
      </c>
      <c r="C161" s="3" t="s">
        <v>78</v>
      </c>
      <c r="D161" s="3" t="s">
        <v>79</v>
      </c>
      <c r="E161" s="3">
        <v>9</v>
      </c>
      <c r="F161" s="3">
        <v>65</v>
      </c>
      <c r="G161" s="3">
        <v>7.2</v>
      </c>
      <c r="H161" s="4">
        <v>0.55600000000000005</v>
      </c>
      <c r="I161" s="5">
        <v>138258</v>
      </c>
      <c r="J161" s="5">
        <v>15362</v>
      </c>
      <c r="K161" s="4">
        <v>0.80200000000000005</v>
      </c>
      <c r="L161" s="4">
        <v>0.111</v>
      </c>
      <c r="M161" s="5">
        <v>543356</v>
      </c>
      <c r="N161" s="5">
        <v>110820</v>
      </c>
      <c r="O161" s="5">
        <v>164560.63</v>
      </c>
      <c r="P161" s="119">
        <f>_xlfn.XLOOKUP(raceday_22_23[[#This Row],[Helper]],'Betcha Integrated'!A:A,'Betcha Integrated'!H:H,0)</f>
        <v>159414.44</v>
      </c>
      <c r="Q161" s="4">
        <v>0.20399999999999999</v>
      </c>
      <c r="R161" s="4">
        <v>0.67300000000000004</v>
      </c>
      <c r="S161" s="18">
        <v>3.302</v>
      </c>
      <c r="T161" s="10">
        <v>0</v>
      </c>
      <c r="U161" s="10">
        <v>0</v>
      </c>
      <c r="V161" s="11">
        <v>0</v>
      </c>
      <c r="W161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61" s="3">
        <f>MONTH(raceday_22_23[[#This Row],[Raceday Date]])</f>
        <v>2</v>
      </c>
      <c r="Y16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1" s="3" t="str">
        <f>raceday_22_23[[#This Row],[Raceday Date]]&amp;raceday_22_23[[#This Row],[Club]]</f>
        <v>45709Auckland Trotting Club Inc</v>
      </c>
      <c r="AA161" s="5">
        <f>0.03*raceday_22_23[[#This Row],[Export TO (AUD)]]</f>
        <v>4782.4331999999995</v>
      </c>
      <c r="AB161" s="5">
        <f>_xlfn.XLOOKUP(raceday_22_23[[#This Row],[Helper]],'Betcha Integrated'!A:A,'Betcha Integrated'!F:F, 0)</f>
        <v>589411.27109999908</v>
      </c>
      <c r="AC161" s="5">
        <f>_xlfn.XLOOKUP(raceday_22_23[[#This Row],[Helper]],'Betcha Integrated'!A:A,'Betcha Integrated'!G:G, 0)</f>
        <v>112914.3152999999</v>
      </c>
      <c r="AD161" s="5">
        <f>raceday_22_23[[#This Row],[Export Earned]]+raceday_22_23[[#This Row],[Betcha Inc. GBR]]</f>
        <v>117696.7484999999</v>
      </c>
      <c r="AE161" s="88">
        <f>ROUND(raceday_22_23[[#This Row],[Fav. Win %]]*raceday_22_23[[#This Row],[Races]], 0)</f>
        <v>5</v>
      </c>
    </row>
    <row r="162" spans="1:31" x14ac:dyDescent="0.3">
      <c r="A162" s="8">
        <v>45709</v>
      </c>
      <c r="B162" s="3" t="s">
        <v>77</v>
      </c>
      <c r="C162" s="3" t="s">
        <v>90</v>
      </c>
      <c r="D162" s="3" t="s">
        <v>76</v>
      </c>
      <c r="E162" s="3">
        <v>10</v>
      </c>
      <c r="F162" s="3">
        <v>89</v>
      </c>
      <c r="G162" s="3">
        <v>8.9</v>
      </c>
      <c r="H162" s="4">
        <v>0.4</v>
      </c>
      <c r="I162" s="5">
        <v>108438</v>
      </c>
      <c r="J162" s="5">
        <v>10844</v>
      </c>
      <c r="K162" s="4">
        <v>1.367</v>
      </c>
      <c r="L162" s="4">
        <v>0.1</v>
      </c>
      <c r="M162" s="5">
        <v>718958</v>
      </c>
      <c r="N162" s="5">
        <v>148224</v>
      </c>
      <c r="O162" s="5">
        <v>143719.20000000001</v>
      </c>
      <c r="P162" s="119">
        <f>_xlfn.XLOOKUP(raceday_22_23[[#This Row],[Helper]],'Betcha Integrated'!A:A,'Betcha Integrated'!H:H,0)</f>
        <v>209867.18000000002</v>
      </c>
      <c r="Q162" s="4">
        <v>0.20599999999999999</v>
      </c>
      <c r="R162" s="4">
        <v>1.0309999999999999</v>
      </c>
      <c r="S162" s="18">
        <v>5.0030000000000001</v>
      </c>
      <c r="T162" s="10">
        <v>833107</v>
      </c>
      <c r="U162" s="10">
        <v>118238</v>
      </c>
      <c r="V162" s="11">
        <v>0.14199999999999999</v>
      </c>
      <c r="W162" s="12">
        <f>IF(raceday_22_23[[#This Row],[Last Year Turnover]]=0, "No Corresponding PY Meeting", (raceday_22_23[[#This Row],[Betcha Inc. TO]]-raceday_22_23[[#This Row],[Last Year Turnover]])/raceday_22_23[[#This Row],[Last Year Turnover]])</f>
        <v>-7.9820043283757094E-2</v>
      </c>
      <c r="X162" s="3">
        <f>MONTH(raceday_22_23[[#This Row],[Raceday Date]])</f>
        <v>2</v>
      </c>
      <c r="Y16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2" s="3" t="str">
        <f>raceday_22_23[[#This Row],[Raceday Date]]&amp;raceday_22_23[[#This Row],[Club]]</f>
        <v>45709Wyndham Harness Racing Club Inc</v>
      </c>
      <c r="AA162" s="5">
        <f>0.03*raceday_22_23[[#This Row],[Export TO (AUD)]]</f>
        <v>6296.0154000000002</v>
      </c>
      <c r="AB162" s="5">
        <f>_xlfn.XLOOKUP(raceday_22_23[[#This Row],[Helper]],'Betcha Integrated'!A:A,'Betcha Integrated'!F:F, 0)</f>
        <v>766608.36319999897</v>
      </c>
      <c r="AC162" s="5">
        <f>_xlfn.XLOOKUP(raceday_22_23[[#This Row],[Helper]],'Betcha Integrated'!A:A,'Betcha Integrated'!G:G, 0)</f>
        <v>151540.13669999989</v>
      </c>
      <c r="AD162" s="5">
        <f>raceday_22_23[[#This Row],[Export Earned]]+raceday_22_23[[#This Row],[Betcha Inc. GBR]]</f>
        <v>157836.15209999989</v>
      </c>
      <c r="AE162" s="88">
        <f>ROUND(raceday_22_23[[#This Row],[Fav. Win %]]*raceday_22_23[[#This Row],[Races]], 0)</f>
        <v>4</v>
      </c>
    </row>
    <row r="163" spans="1:31" x14ac:dyDescent="0.3">
      <c r="A163" s="8">
        <v>45710</v>
      </c>
      <c r="B163" s="3" t="s">
        <v>93</v>
      </c>
      <c r="C163" s="3" t="s">
        <v>86</v>
      </c>
      <c r="D163" s="3" t="s">
        <v>81</v>
      </c>
      <c r="E163" s="3">
        <v>10</v>
      </c>
      <c r="F163" s="3">
        <v>109</v>
      </c>
      <c r="G163" s="3">
        <v>10.9</v>
      </c>
      <c r="H163" s="4">
        <v>0.3</v>
      </c>
      <c r="I163" s="5">
        <v>124982</v>
      </c>
      <c r="J163" s="5">
        <v>12498</v>
      </c>
      <c r="K163" s="4">
        <v>0.93799999999999994</v>
      </c>
      <c r="L163" s="4">
        <v>0.2</v>
      </c>
      <c r="M163" s="5">
        <v>585487</v>
      </c>
      <c r="N163" s="5">
        <v>117279</v>
      </c>
      <c r="O163" s="5">
        <v>154666.49</v>
      </c>
      <c r="P163" s="119">
        <f>_xlfn.XLOOKUP(raceday_22_23[[#This Row],[Helper]],'Betcha Integrated'!A:A,'Betcha Integrated'!H:H,0)</f>
        <v>291327.53999999998</v>
      </c>
      <c r="Q163" s="4">
        <v>0.2</v>
      </c>
      <c r="R163" s="4">
        <v>0.75800000000000001</v>
      </c>
      <c r="S163" s="18">
        <v>3.7850000000000001</v>
      </c>
      <c r="T163" s="10">
        <v>663613</v>
      </c>
      <c r="U163" s="10">
        <v>113020</v>
      </c>
      <c r="V163" s="11">
        <v>0.17</v>
      </c>
      <c r="W163" s="12">
        <f>IF(raceday_22_23[[#This Row],[Last Year Turnover]]=0, "No Corresponding PY Meeting", (raceday_22_23[[#This Row],[Betcha Inc. TO]]-raceday_22_23[[#This Row],[Last Year Turnover]])/raceday_22_23[[#This Row],[Last Year Turnover]])</f>
        <v>-7.1400537361385311E-2</v>
      </c>
      <c r="X163" s="3">
        <f>MONTH(raceday_22_23[[#This Row],[Raceday Date]])</f>
        <v>2</v>
      </c>
      <c r="Y16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3" s="3" t="str">
        <f>raceday_22_23[[#This Row],[Raceday Date]]&amp;raceday_22_23[[#This Row],[Club]]</f>
        <v>45710Ashburton Trotting Club Inc</v>
      </c>
      <c r="AA163" s="5">
        <f>0.03*raceday_22_23[[#This Row],[Export TO (AUD)]]</f>
        <v>8739.8261999999995</v>
      </c>
      <c r="AB163" s="5">
        <f>_xlfn.XLOOKUP(raceday_22_23[[#This Row],[Helper]],'Betcha Integrated'!A:A,'Betcha Integrated'!F:F, 0)</f>
        <v>616230.67519999901</v>
      </c>
      <c r="AC163" s="5">
        <f>_xlfn.XLOOKUP(raceday_22_23[[#This Row],[Helper]],'Betcha Integrated'!A:A,'Betcha Integrated'!G:G, 0)</f>
        <v>125335.0095999999</v>
      </c>
      <c r="AD163" s="5">
        <f>raceday_22_23[[#This Row],[Export Earned]]+raceday_22_23[[#This Row],[Betcha Inc. GBR]]</f>
        <v>134074.83579999991</v>
      </c>
      <c r="AE163" s="88">
        <f>ROUND(raceday_22_23[[#This Row],[Fav. Win %]]*raceday_22_23[[#This Row],[Races]], 0)</f>
        <v>3</v>
      </c>
    </row>
    <row r="164" spans="1:31" x14ac:dyDescent="0.3">
      <c r="A164" s="8">
        <v>45711</v>
      </c>
      <c r="B164" s="3" t="s">
        <v>82</v>
      </c>
      <c r="C164" s="3" t="s">
        <v>101</v>
      </c>
      <c r="D164" s="3" t="s">
        <v>79</v>
      </c>
      <c r="E164" s="3">
        <v>7</v>
      </c>
      <c r="F164" s="3">
        <v>53</v>
      </c>
      <c r="G164" s="3">
        <v>7.6</v>
      </c>
      <c r="H164" s="4">
        <v>0.14299999999999999</v>
      </c>
      <c r="I164" s="5">
        <v>71480</v>
      </c>
      <c r="J164" s="5">
        <v>10211</v>
      </c>
      <c r="K164" s="4">
        <v>1.2110000000000001</v>
      </c>
      <c r="L164" s="4">
        <v>0.14299999999999999</v>
      </c>
      <c r="M164" s="5">
        <v>256633</v>
      </c>
      <c r="N164" s="5">
        <v>86556</v>
      </c>
      <c r="O164" s="5">
        <v>85797.55</v>
      </c>
      <c r="P164" s="119">
        <f>_xlfn.XLOOKUP(raceday_22_23[[#This Row],[Helper]],'Betcha Integrated'!A:A,'Betcha Integrated'!H:H,0)</f>
        <v>145670.49</v>
      </c>
      <c r="Q164" s="4">
        <v>0.33700000000000002</v>
      </c>
      <c r="R164" s="4">
        <v>1.0089999999999999</v>
      </c>
      <c r="S164" s="18">
        <v>2.9910000000000001</v>
      </c>
      <c r="T164" s="10">
        <v>0</v>
      </c>
      <c r="U164" s="10">
        <v>0</v>
      </c>
      <c r="V164" s="11">
        <v>0</v>
      </c>
      <c r="W164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64" s="3">
        <f>MONTH(raceday_22_23[[#This Row],[Raceday Date]])</f>
        <v>2</v>
      </c>
      <c r="Y16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4" s="3" t="str">
        <f>raceday_22_23[[#This Row],[Raceday Date]]&amp;raceday_22_23[[#This Row],[Club]]</f>
        <v>45711Manawatu Harness Racing Club Inc</v>
      </c>
      <c r="AA164" s="5">
        <f>0.03*raceday_22_23[[#This Row],[Export TO (AUD)]]</f>
        <v>4370.1146999999992</v>
      </c>
      <c r="AB164" s="5">
        <f>_xlfn.XLOOKUP(raceday_22_23[[#This Row],[Helper]],'Betcha Integrated'!A:A,'Betcha Integrated'!F:F, 0)</f>
        <v>279609.47469999897</v>
      </c>
      <c r="AC164" s="5">
        <f>_xlfn.XLOOKUP(raceday_22_23[[#This Row],[Helper]],'Betcha Integrated'!A:A,'Betcha Integrated'!G:G, 0)</f>
        <v>100605.74999999991</v>
      </c>
      <c r="AD164" s="5">
        <f>raceday_22_23[[#This Row],[Export Earned]]+raceday_22_23[[#This Row],[Betcha Inc. GBR]]</f>
        <v>104975.86469999992</v>
      </c>
      <c r="AE164" s="88">
        <f>ROUND(raceday_22_23[[#This Row],[Fav. Win %]]*raceday_22_23[[#This Row],[Races]], 0)</f>
        <v>1</v>
      </c>
    </row>
    <row r="165" spans="1:31" x14ac:dyDescent="0.3">
      <c r="A165" s="8">
        <v>45711</v>
      </c>
      <c r="B165" s="3" t="s">
        <v>82</v>
      </c>
      <c r="C165" s="3" t="s">
        <v>90</v>
      </c>
      <c r="D165" s="3" t="s">
        <v>76</v>
      </c>
      <c r="E165" s="3">
        <v>10</v>
      </c>
      <c r="F165" s="3">
        <v>104</v>
      </c>
      <c r="G165" s="3">
        <v>10.4</v>
      </c>
      <c r="H165" s="4">
        <v>0.6</v>
      </c>
      <c r="I165" s="5">
        <v>120290</v>
      </c>
      <c r="J165" s="5">
        <v>12029</v>
      </c>
      <c r="K165" s="4">
        <v>0.26200000000000001</v>
      </c>
      <c r="L165" s="4">
        <v>0.2</v>
      </c>
      <c r="M165" s="5">
        <v>686488</v>
      </c>
      <c r="N165" s="5">
        <v>31519</v>
      </c>
      <c r="O165" s="5">
        <v>155921.70000000001</v>
      </c>
      <c r="P165" s="119">
        <f>_xlfn.XLOOKUP(raceday_22_23[[#This Row],[Helper]],'Betcha Integrated'!A:A,'Betcha Integrated'!H:H,0)</f>
        <v>180918.56999999998</v>
      </c>
      <c r="Q165" s="4">
        <v>4.5999999999999999E-2</v>
      </c>
      <c r="R165" s="4">
        <v>0.20200000000000001</v>
      </c>
      <c r="S165" s="18">
        <v>4.4029999999999996</v>
      </c>
      <c r="T165" s="10">
        <v>1109618</v>
      </c>
      <c r="U165" s="10">
        <v>252075</v>
      </c>
      <c r="V165" s="11">
        <v>0.22700000000000001</v>
      </c>
      <c r="W165" s="12">
        <f>IF(raceday_22_23[[#This Row],[Last Year Turnover]]=0, "No Corresponding PY Meeting", (raceday_22_23[[#This Row],[Betcha Inc. TO]]-raceday_22_23[[#This Row],[Last Year Turnover]])/raceday_22_23[[#This Row],[Last Year Turnover]])</f>
        <v>-0.3334784642102066</v>
      </c>
      <c r="X165" s="3">
        <f>MONTH(raceday_22_23[[#This Row],[Raceday Date]])</f>
        <v>2</v>
      </c>
      <c r="Y16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5" s="3" t="str">
        <f>raceday_22_23[[#This Row],[Raceday Date]]&amp;raceday_22_23[[#This Row],[Club]]</f>
        <v>45711Wyndham Harness Racing Club Inc</v>
      </c>
      <c r="AA165" s="5">
        <f>0.03*raceday_22_23[[#This Row],[Export TO (AUD)]]</f>
        <v>5427.5570999999991</v>
      </c>
      <c r="AB165" s="5">
        <f>_xlfn.XLOOKUP(raceday_22_23[[#This Row],[Helper]],'Betcha Integrated'!A:A,'Betcha Integrated'!F:F, 0)</f>
        <v>739584.29349999898</v>
      </c>
      <c r="AC165" s="5">
        <f>_xlfn.XLOOKUP(raceday_22_23[[#This Row],[Helper]],'Betcha Integrated'!A:A,'Betcha Integrated'!G:G, 0)</f>
        <v>32172.017299999901</v>
      </c>
      <c r="AD165" s="5">
        <f>raceday_22_23[[#This Row],[Export Earned]]+raceday_22_23[[#This Row],[Betcha Inc. GBR]]</f>
        <v>37599.574399999903</v>
      </c>
      <c r="AE165" s="88">
        <f>ROUND(raceday_22_23[[#This Row],[Fav. Win %]]*raceday_22_23[[#This Row],[Races]], 0)</f>
        <v>6</v>
      </c>
    </row>
    <row r="166" spans="1:31" x14ac:dyDescent="0.3">
      <c r="A166" s="8">
        <v>45713</v>
      </c>
      <c r="B166" s="3" t="s">
        <v>83</v>
      </c>
      <c r="C166" s="3" t="s">
        <v>101</v>
      </c>
      <c r="D166" s="3" t="s">
        <v>79</v>
      </c>
      <c r="E166" s="3">
        <v>7</v>
      </c>
      <c r="F166" s="3">
        <v>53</v>
      </c>
      <c r="G166" s="3">
        <v>7.6</v>
      </c>
      <c r="H166" s="4">
        <v>0.42899999999999999</v>
      </c>
      <c r="I166" s="5">
        <v>74787</v>
      </c>
      <c r="J166" s="5">
        <v>10684</v>
      </c>
      <c r="K166" s="4">
        <v>0.66900000000000004</v>
      </c>
      <c r="L166" s="4">
        <v>0.14299999999999999</v>
      </c>
      <c r="M166" s="5">
        <v>215162</v>
      </c>
      <c r="N166" s="5">
        <v>50036</v>
      </c>
      <c r="O166" s="5">
        <v>95605.05</v>
      </c>
      <c r="P166" s="119">
        <f>_xlfn.XLOOKUP(raceday_22_23[[#This Row],[Helper]],'Betcha Integrated'!A:A,'Betcha Integrated'!H:H,0)</f>
        <v>135232.44</v>
      </c>
      <c r="Q166" s="4">
        <v>0.23300000000000001</v>
      </c>
      <c r="R166" s="4">
        <v>0.52300000000000002</v>
      </c>
      <c r="S166" s="18">
        <v>2.2509999999999999</v>
      </c>
      <c r="T166" s="10">
        <v>0</v>
      </c>
      <c r="U166" s="10">
        <v>0</v>
      </c>
      <c r="V166" s="11">
        <v>0</v>
      </c>
      <c r="W16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66" s="3">
        <f>MONTH(raceday_22_23[[#This Row],[Raceday Date]])</f>
        <v>2</v>
      </c>
      <c r="Y16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6" s="3" t="str">
        <f>raceday_22_23[[#This Row],[Raceday Date]]&amp;raceday_22_23[[#This Row],[Club]]</f>
        <v>45713Manawatu Harness Racing Club Inc</v>
      </c>
      <c r="AA166" s="5">
        <f>0.03*raceday_22_23[[#This Row],[Export TO (AUD)]]</f>
        <v>4056.9731999999999</v>
      </c>
      <c r="AB166" s="5">
        <f>_xlfn.XLOOKUP(raceday_22_23[[#This Row],[Helper]],'Betcha Integrated'!A:A,'Betcha Integrated'!F:F, 0)</f>
        <v>235745.27129999999</v>
      </c>
      <c r="AC166" s="5">
        <f>_xlfn.XLOOKUP(raceday_22_23[[#This Row],[Helper]],'Betcha Integrated'!A:A,'Betcha Integrated'!G:G, 0)</f>
        <v>55477.258900000001</v>
      </c>
      <c r="AD166" s="5">
        <f>raceday_22_23[[#This Row],[Export Earned]]+raceday_22_23[[#This Row],[Betcha Inc. GBR]]</f>
        <v>59534.232100000001</v>
      </c>
      <c r="AE166" s="88">
        <f>ROUND(raceday_22_23[[#This Row],[Fav. Win %]]*raceday_22_23[[#This Row],[Races]], 0)</f>
        <v>3</v>
      </c>
    </row>
    <row r="167" spans="1:31" x14ac:dyDescent="0.3">
      <c r="A167" s="8">
        <v>45713</v>
      </c>
      <c r="B167" s="3" t="s">
        <v>83</v>
      </c>
      <c r="C167" s="3" t="s">
        <v>80</v>
      </c>
      <c r="D167" s="3" t="s">
        <v>81</v>
      </c>
      <c r="E167" s="3">
        <v>8</v>
      </c>
      <c r="F167" s="3">
        <v>66</v>
      </c>
      <c r="G167" s="3">
        <v>8.1999999999999993</v>
      </c>
      <c r="H167" s="4">
        <v>0.5</v>
      </c>
      <c r="I167" s="5">
        <v>59800</v>
      </c>
      <c r="J167" s="5">
        <v>7475</v>
      </c>
      <c r="K167" s="4">
        <v>1.016</v>
      </c>
      <c r="L167" s="4">
        <v>0.375</v>
      </c>
      <c r="M167" s="5">
        <v>301955</v>
      </c>
      <c r="N167" s="5">
        <v>60736</v>
      </c>
      <c r="O167" s="5">
        <v>97496.92</v>
      </c>
      <c r="P167" s="119">
        <f>_xlfn.XLOOKUP(raceday_22_23[[#This Row],[Helper]],'Betcha Integrated'!A:A,'Betcha Integrated'!H:H,0)</f>
        <v>217420.01</v>
      </c>
      <c r="Q167" s="4">
        <v>0.20100000000000001</v>
      </c>
      <c r="R167" s="4">
        <v>0.623</v>
      </c>
      <c r="S167" s="18">
        <v>3.097</v>
      </c>
      <c r="T167" s="10">
        <v>0</v>
      </c>
      <c r="U167" s="10">
        <v>0</v>
      </c>
      <c r="V167" s="11">
        <v>0</v>
      </c>
      <c r="W16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67" s="3">
        <f>MONTH(raceday_22_23[[#This Row],[Raceday Date]])</f>
        <v>2</v>
      </c>
      <c r="Y16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7" s="3" t="str">
        <f>raceday_22_23[[#This Row],[Raceday Date]]&amp;raceday_22_23[[#This Row],[Club]]</f>
        <v>45713NZ Metropolitan Trotting Club Inc</v>
      </c>
      <c r="AA167" s="5">
        <f>0.03*raceday_22_23[[#This Row],[Export TO (AUD)]]</f>
        <v>6522.6003000000001</v>
      </c>
      <c r="AB167" s="5">
        <f>_xlfn.XLOOKUP(raceday_22_23[[#This Row],[Helper]],'Betcha Integrated'!A:A,'Betcha Integrated'!F:F, 0)</f>
        <v>330023.32189999899</v>
      </c>
      <c r="AC167" s="5">
        <f>_xlfn.XLOOKUP(raceday_22_23[[#This Row],[Helper]],'Betcha Integrated'!A:A,'Betcha Integrated'!G:G, 0)</f>
        <v>63026.816399999894</v>
      </c>
      <c r="AD167" s="5">
        <f>raceday_22_23[[#This Row],[Export Earned]]+raceday_22_23[[#This Row],[Betcha Inc. GBR]]</f>
        <v>69549.4166999999</v>
      </c>
      <c r="AE167" s="88">
        <f>ROUND(raceday_22_23[[#This Row],[Fav. Win %]]*raceday_22_23[[#This Row],[Races]], 0)</f>
        <v>4</v>
      </c>
    </row>
    <row r="168" spans="1:31" x14ac:dyDescent="0.3">
      <c r="A168" s="8">
        <v>45715</v>
      </c>
      <c r="B168" s="3" t="s">
        <v>74</v>
      </c>
      <c r="C168" s="3" t="s">
        <v>75</v>
      </c>
      <c r="D168" s="3" t="s">
        <v>76</v>
      </c>
      <c r="E168" s="3">
        <v>10</v>
      </c>
      <c r="F168" s="3">
        <v>97</v>
      </c>
      <c r="G168" s="3">
        <v>9.6999999999999993</v>
      </c>
      <c r="H168" s="4">
        <v>0.4</v>
      </c>
      <c r="I168" s="5">
        <v>119539</v>
      </c>
      <c r="J168" s="5">
        <v>11954</v>
      </c>
      <c r="K168" s="4">
        <v>1.4019999999999999</v>
      </c>
      <c r="L168" s="4">
        <v>0</v>
      </c>
      <c r="M168" s="5">
        <v>577473</v>
      </c>
      <c r="N168" s="5">
        <v>167625</v>
      </c>
      <c r="O168" s="5">
        <v>141640.84</v>
      </c>
      <c r="P168" s="119">
        <f>_xlfn.XLOOKUP(raceday_22_23[[#This Row],[Helper]],'Betcha Integrated'!A:A,'Betcha Integrated'!H:H,0)</f>
        <v>282470.40000000002</v>
      </c>
      <c r="Q168" s="4">
        <v>0.28999999999999998</v>
      </c>
      <c r="R168" s="4">
        <v>1.1830000000000001</v>
      </c>
      <c r="S168" s="18">
        <v>4.077</v>
      </c>
      <c r="T168" s="10">
        <v>0</v>
      </c>
      <c r="U168" s="10">
        <v>0</v>
      </c>
      <c r="V168" s="11">
        <v>0</v>
      </c>
      <c r="W16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68" s="3">
        <f>MONTH(raceday_22_23[[#This Row],[Raceday Date]])</f>
        <v>2</v>
      </c>
      <c r="Y16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8" s="3" t="str">
        <f>raceday_22_23[[#This Row],[Raceday Date]]&amp;raceday_22_23[[#This Row],[Club]]</f>
        <v>45715Winton Harness Racing Club Inc</v>
      </c>
      <c r="AA168" s="5">
        <f>0.03*raceday_22_23[[#This Row],[Export TO (AUD)]]</f>
        <v>8474.112000000001</v>
      </c>
      <c r="AB168" s="5">
        <f>_xlfn.XLOOKUP(raceday_22_23[[#This Row],[Helper]],'Betcha Integrated'!A:A,'Betcha Integrated'!F:F, 0)</f>
        <v>604997.33359999908</v>
      </c>
      <c r="AC168" s="5">
        <f>_xlfn.XLOOKUP(raceday_22_23[[#This Row],[Helper]],'Betcha Integrated'!A:A,'Betcha Integrated'!G:G, 0)</f>
        <v>169574.93269999989</v>
      </c>
      <c r="AD168" s="5">
        <f>raceday_22_23[[#This Row],[Export Earned]]+raceday_22_23[[#This Row],[Betcha Inc. GBR]]</f>
        <v>178049.04469999988</v>
      </c>
      <c r="AE168" s="88">
        <f>ROUND(raceday_22_23[[#This Row],[Fav. Win %]]*raceday_22_23[[#This Row],[Races]], 0)</f>
        <v>4</v>
      </c>
    </row>
    <row r="169" spans="1:31" x14ac:dyDescent="0.3">
      <c r="A169" s="8">
        <v>45716</v>
      </c>
      <c r="B169" s="3" t="s">
        <v>77</v>
      </c>
      <c r="C169" s="3" t="s">
        <v>80</v>
      </c>
      <c r="D169" s="3" t="s">
        <v>81</v>
      </c>
      <c r="E169" s="3">
        <v>10</v>
      </c>
      <c r="F169" s="3">
        <v>97</v>
      </c>
      <c r="G169" s="3">
        <v>9.6999999999999993</v>
      </c>
      <c r="H169" s="4">
        <v>0.3</v>
      </c>
      <c r="I169" s="5">
        <v>198867</v>
      </c>
      <c r="J169" s="5">
        <v>19887</v>
      </c>
      <c r="K169" s="4">
        <v>0.751</v>
      </c>
      <c r="L169" s="4">
        <v>0.1</v>
      </c>
      <c r="M169" s="5">
        <v>830736</v>
      </c>
      <c r="N169" s="5">
        <v>149404</v>
      </c>
      <c r="O169" s="5">
        <v>236669.42</v>
      </c>
      <c r="P169" s="119">
        <f>_xlfn.XLOOKUP(raceday_22_23[[#This Row],[Helper]],'Betcha Integrated'!A:A,'Betcha Integrated'!H:H,0)</f>
        <v>295496.25</v>
      </c>
      <c r="Q169" s="4">
        <v>0.18</v>
      </c>
      <c r="R169" s="4">
        <v>0.63100000000000001</v>
      </c>
      <c r="S169" s="18">
        <v>3.51</v>
      </c>
      <c r="T169" s="10">
        <v>847769</v>
      </c>
      <c r="U169" s="10">
        <v>206405</v>
      </c>
      <c r="V169" s="11">
        <v>0.24299999999999999</v>
      </c>
      <c r="W169" s="12">
        <f>IF(raceday_22_23[[#This Row],[Last Year Turnover]]=0, "No Corresponding PY Meeting", (raceday_22_23[[#This Row],[Betcha Inc. TO]]-raceday_22_23[[#This Row],[Last Year Turnover]])/raceday_22_23[[#This Row],[Last Year Turnover]])</f>
        <v>6.424082845680712E-2</v>
      </c>
      <c r="X169" s="3">
        <f>MONTH(raceday_22_23[[#This Row],[Raceday Date]])</f>
        <v>2</v>
      </c>
      <c r="Y16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69" s="3" t="str">
        <f>raceday_22_23[[#This Row],[Raceday Date]]&amp;raceday_22_23[[#This Row],[Club]]</f>
        <v>45716NZ Metropolitan Trotting Club Inc</v>
      </c>
      <c r="AA169" s="5">
        <f>0.03*raceday_22_23[[#This Row],[Export TO (AUD)]]</f>
        <v>8864.8874999999989</v>
      </c>
      <c r="AB169" s="5">
        <f>_xlfn.XLOOKUP(raceday_22_23[[#This Row],[Helper]],'Betcha Integrated'!A:A,'Betcha Integrated'!F:F, 0)</f>
        <v>902230.38289999892</v>
      </c>
      <c r="AC169" s="5">
        <f>_xlfn.XLOOKUP(raceday_22_23[[#This Row],[Helper]],'Betcha Integrated'!A:A,'Betcha Integrated'!G:G, 0)</f>
        <v>158504.20219999991</v>
      </c>
      <c r="AD169" s="5">
        <f>raceday_22_23[[#This Row],[Export Earned]]+raceday_22_23[[#This Row],[Betcha Inc. GBR]]</f>
        <v>167369.08969999992</v>
      </c>
      <c r="AE169" s="88">
        <f>ROUND(raceday_22_23[[#This Row],[Fav. Win %]]*raceday_22_23[[#This Row],[Races]], 0)</f>
        <v>3</v>
      </c>
    </row>
    <row r="170" spans="1:31" x14ac:dyDescent="0.3">
      <c r="A170" s="8">
        <v>45716</v>
      </c>
      <c r="B170" s="3" t="s">
        <v>77</v>
      </c>
      <c r="C170" s="3" t="s">
        <v>78</v>
      </c>
      <c r="D170" s="3" t="s">
        <v>79</v>
      </c>
      <c r="E170" s="3">
        <v>8</v>
      </c>
      <c r="F170" s="3">
        <v>68</v>
      </c>
      <c r="G170" s="3">
        <v>8.5</v>
      </c>
      <c r="H170" s="4">
        <v>0.5</v>
      </c>
      <c r="I170" s="5">
        <v>144584</v>
      </c>
      <c r="J170" s="5">
        <v>18073</v>
      </c>
      <c r="K170" s="4">
        <v>0.55100000000000005</v>
      </c>
      <c r="L170" s="4">
        <v>0</v>
      </c>
      <c r="M170" s="5">
        <v>487941</v>
      </c>
      <c r="N170" s="5">
        <v>79699</v>
      </c>
      <c r="O170" s="5">
        <v>170990.63</v>
      </c>
      <c r="P170" s="119">
        <f>_xlfn.XLOOKUP(raceday_22_23[[#This Row],[Helper]],'Betcha Integrated'!A:A,'Betcha Integrated'!H:H,0)</f>
        <v>235582.91</v>
      </c>
      <c r="Q170" s="4">
        <v>0.16300000000000001</v>
      </c>
      <c r="R170" s="4">
        <v>0.46600000000000003</v>
      </c>
      <c r="S170" s="18">
        <v>2.8540000000000001</v>
      </c>
      <c r="T170" s="10">
        <v>720823</v>
      </c>
      <c r="U170" s="10">
        <v>136025</v>
      </c>
      <c r="V170" s="11">
        <v>0.189</v>
      </c>
      <c r="W170" s="12">
        <f>IF(raceday_22_23[[#This Row],[Last Year Turnover]]=0, "No Corresponding PY Meeting", (raceday_22_23[[#This Row],[Betcha Inc. TO]]-raceday_22_23[[#This Row],[Last Year Turnover]])/raceday_22_23[[#This Row],[Last Year Turnover]])</f>
        <v>-0.26789763409325307</v>
      </c>
      <c r="X170" s="3">
        <f>MONTH(raceday_22_23[[#This Row],[Raceday Date]])</f>
        <v>2</v>
      </c>
      <c r="Y17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0" s="3" t="str">
        <f>raceday_22_23[[#This Row],[Raceday Date]]&amp;raceday_22_23[[#This Row],[Club]]</f>
        <v>45716Auckland Trotting Club Inc</v>
      </c>
      <c r="AA170" s="5">
        <f>0.03*raceday_22_23[[#This Row],[Export TO (AUD)]]</f>
        <v>7067.4872999999998</v>
      </c>
      <c r="AB170" s="5">
        <f>_xlfn.XLOOKUP(raceday_22_23[[#This Row],[Helper]],'Betcha Integrated'!A:A,'Betcha Integrated'!F:F, 0)</f>
        <v>527716.22369999904</v>
      </c>
      <c r="AC170" s="5">
        <f>_xlfn.XLOOKUP(raceday_22_23[[#This Row],[Helper]],'Betcha Integrated'!A:A,'Betcha Integrated'!G:G, 0)</f>
        <v>87623.625099999888</v>
      </c>
      <c r="AD170" s="5">
        <f>raceday_22_23[[#This Row],[Export Earned]]+raceday_22_23[[#This Row],[Betcha Inc. GBR]]</f>
        <v>94691.112399999882</v>
      </c>
      <c r="AE170" s="88">
        <f>ROUND(raceday_22_23[[#This Row],[Fav. Win %]]*raceday_22_23[[#This Row],[Races]], 0)</f>
        <v>4</v>
      </c>
    </row>
    <row r="171" spans="1:31" x14ac:dyDescent="0.3">
      <c r="A171" s="8">
        <v>45718</v>
      </c>
      <c r="B171" s="3" t="s">
        <v>82</v>
      </c>
      <c r="C171" s="3" t="s">
        <v>89</v>
      </c>
      <c r="D171" s="3" t="s">
        <v>81</v>
      </c>
      <c r="E171" s="3">
        <v>10</v>
      </c>
      <c r="F171" s="3">
        <v>118</v>
      </c>
      <c r="G171" s="3">
        <v>11.8</v>
      </c>
      <c r="H171" s="4">
        <v>0.5</v>
      </c>
      <c r="I171" s="5">
        <v>139411</v>
      </c>
      <c r="J171" s="5">
        <v>13941</v>
      </c>
      <c r="K171" s="4">
        <v>0.77800000000000002</v>
      </c>
      <c r="L171" s="4">
        <v>0.1</v>
      </c>
      <c r="M171" s="5">
        <v>866292</v>
      </c>
      <c r="N171" s="5">
        <v>108465</v>
      </c>
      <c r="O171" s="5">
        <v>167403.25</v>
      </c>
      <c r="P171" s="119">
        <f>_xlfn.XLOOKUP(raceday_22_23[[#This Row],[Helper]],'Betcha Integrated'!A:A,'Betcha Integrated'!H:H,0)</f>
        <v>260003.18</v>
      </c>
      <c r="Q171" s="4">
        <v>0.125</v>
      </c>
      <c r="R171" s="4">
        <v>0.64800000000000002</v>
      </c>
      <c r="S171" s="18">
        <v>5.1749999999999998</v>
      </c>
      <c r="T171" s="10">
        <v>600527</v>
      </c>
      <c r="U171" s="10">
        <v>81141</v>
      </c>
      <c r="V171" s="11">
        <v>0.13500000000000001</v>
      </c>
      <c r="W171" s="12">
        <f>IF(raceday_22_23[[#This Row],[Last Year Turnover]]=0, "No Corresponding PY Meeting", (raceday_22_23[[#This Row],[Betcha Inc. TO]]-raceday_22_23[[#This Row],[Last Year Turnover]])/raceday_22_23[[#This Row],[Last Year Turnover]])</f>
        <v>0.53728340307763023</v>
      </c>
      <c r="X171" s="3">
        <f>MONTH(raceday_22_23[[#This Row],[Raceday Date]])</f>
        <v>3</v>
      </c>
      <c r="Y17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1" s="3" t="str">
        <f>raceday_22_23[[#This Row],[Raceday Date]]&amp;raceday_22_23[[#This Row],[Club]]</f>
        <v>45718Rangiora Harness Racing Club Inc</v>
      </c>
      <c r="AA171" s="5">
        <f>0.03*raceday_22_23[[#This Row],[Export TO (AUD)]]</f>
        <v>7800.0953999999992</v>
      </c>
      <c r="AB171" s="5">
        <f>_xlfn.XLOOKUP(raceday_22_23[[#This Row],[Helper]],'Betcha Integrated'!A:A,'Betcha Integrated'!F:F, 0)</f>
        <v>923180.19020000007</v>
      </c>
      <c r="AC171" s="5">
        <f>_xlfn.XLOOKUP(raceday_22_23[[#This Row],[Helper]],'Betcha Integrated'!A:A,'Betcha Integrated'!G:G, 0)</f>
        <v>113555.21590000001</v>
      </c>
      <c r="AD171" s="5">
        <f>raceday_22_23[[#This Row],[Export Earned]]+raceday_22_23[[#This Row],[Betcha Inc. GBR]]</f>
        <v>121355.31130000002</v>
      </c>
      <c r="AE171" s="88">
        <f>ROUND(raceday_22_23[[#This Row],[Fav. Win %]]*raceday_22_23[[#This Row],[Races]], 0)</f>
        <v>5</v>
      </c>
    </row>
    <row r="172" spans="1:31" x14ac:dyDescent="0.3">
      <c r="A172" s="8">
        <v>45720</v>
      </c>
      <c r="B172" s="3" t="s">
        <v>83</v>
      </c>
      <c r="C172" s="3" t="s">
        <v>84</v>
      </c>
      <c r="D172" s="3" t="s">
        <v>79</v>
      </c>
      <c r="E172" s="3">
        <v>7</v>
      </c>
      <c r="F172" s="3">
        <v>59</v>
      </c>
      <c r="G172" s="3">
        <v>8.4</v>
      </c>
      <c r="H172" s="4">
        <v>0.14299999999999999</v>
      </c>
      <c r="I172" s="5">
        <v>52500</v>
      </c>
      <c r="J172" s="5">
        <v>7500</v>
      </c>
      <c r="K172" s="4">
        <v>1.0449999999999999</v>
      </c>
      <c r="L172" s="4">
        <v>0.14299999999999999</v>
      </c>
      <c r="M172" s="5">
        <v>245963</v>
      </c>
      <c r="N172" s="5">
        <v>54845</v>
      </c>
      <c r="O172" s="5">
        <v>77791.240000000005</v>
      </c>
      <c r="P172" s="119">
        <f>_xlfn.XLOOKUP(raceday_22_23[[#This Row],[Helper]],'Betcha Integrated'!A:A,'Betcha Integrated'!H:H,0)</f>
        <v>170904.66</v>
      </c>
      <c r="Q172" s="4">
        <v>0.223</v>
      </c>
      <c r="R172" s="4">
        <v>0.70499999999999996</v>
      </c>
      <c r="S172" s="18">
        <v>3.1619999999999999</v>
      </c>
      <c r="T172" s="10">
        <v>0</v>
      </c>
      <c r="U172" s="10">
        <v>0</v>
      </c>
      <c r="V172" s="11">
        <v>0</v>
      </c>
      <c r="W17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72" s="3">
        <f>MONTH(raceday_22_23[[#This Row],[Raceday Date]])</f>
        <v>3</v>
      </c>
      <c r="Y17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2" s="3" t="str">
        <f>raceday_22_23[[#This Row],[Raceday Date]]&amp;raceday_22_23[[#This Row],[Club]]</f>
        <v>45720Waikato Bay of Plenty Harness Inc</v>
      </c>
      <c r="AA172" s="5">
        <f>0.03*raceday_22_23[[#This Row],[Export TO (AUD)]]</f>
        <v>5127.1397999999999</v>
      </c>
      <c r="AB172" s="5">
        <f>_xlfn.XLOOKUP(raceday_22_23[[#This Row],[Helper]],'Betcha Integrated'!A:A,'Betcha Integrated'!F:F, 0)</f>
        <v>267602.1703</v>
      </c>
      <c r="AC172" s="5">
        <f>_xlfn.XLOOKUP(raceday_22_23[[#This Row],[Helper]],'Betcha Integrated'!A:A,'Betcha Integrated'!G:G, 0)</f>
        <v>60345.946299999996</v>
      </c>
      <c r="AD172" s="5">
        <f>raceday_22_23[[#This Row],[Export Earned]]+raceday_22_23[[#This Row],[Betcha Inc. GBR]]</f>
        <v>65473.086099999993</v>
      </c>
      <c r="AE172" s="88">
        <f>ROUND(raceday_22_23[[#This Row],[Fav. Win %]]*raceday_22_23[[#This Row],[Races]], 0)</f>
        <v>1</v>
      </c>
    </row>
    <row r="173" spans="1:31" x14ac:dyDescent="0.3">
      <c r="A173" s="8">
        <v>45721</v>
      </c>
      <c r="B173" s="3" t="s">
        <v>96</v>
      </c>
      <c r="C173" s="3" t="s">
        <v>92</v>
      </c>
      <c r="D173" s="3" t="s">
        <v>76</v>
      </c>
      <c r="E173" s="3">
        <v>9</v>
      </c>
      <c r="F173" s="3">
        <v>93</v>
      </c>
      <c r="G173" s="3">
        <v>10.3</v>
      </c>
      <c r="H173" s="4">
        <v>0.222</v>
      </c>
      <c r="I173" s="5">
        <v>96095</v>
      </c>
      <c r="J173" s="5">
        <v>10677</v>
      </c>
      <c r="K173" s="4">
        <v>0.35399999999999998</v>
      </c>
      <c r="L173" s="4">
        <v>0.33300000000000002</v>
      </c>
      <c r="M173" s="5">
        <v>566216</v>
      </c>
      <c r="N173" s="5">
        <v>34015</v>
      </c>
      <c r="O173" s="5">
        <v>105456.2</v>
      </c>
      <c r="P173" s="119">
        <f>_xlfn.XLOOKUP(raceday_22_23[[#This Row],[Helper]],'Betcha Integrated'!A:A,'Betcha Integrated'!H:H,0)</f>
        <v>471157.77</v>
      </c>
      <c r="Q173" s="4">
        <v>0.06</v>
      </c>
      <c r="R173" s="4">
        <v>0.32300000000000001</v>
      </c>
      <c r="S173" s="18">
        <v>5.3689999999999998</v>
      </c>
      <c r="T173" s="10">
        <v>514821</v>
      </c>
      <c r="U173" s="10">
        <v>56480</v>
      </c>
      <c r="V173" s="11">
        <v>0.11</v>
      </c>
      <c r="W173" s="12">
        <f>IF(raceday_22_23[[#This Row],[Last Year Turnover]]=0, "No Corresponding PY Meeting", (raceday_22_23[[#This Row],[Betcha Inc. TO]]-raceday_22_23[[#This Row],[Last Year Turnover]])/raceday_22_23[[#This Row],[Last Year Turnover]])</f>
        <v>0.15167205455876698</v>
      </c>
      <c r="X173" s="3">
        <f>MONTH(raceday_22_23[[#This Row],[Raceday Date]])</f>
        <v>3</v>
      </c>
      <c r="Y17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3" s="3" t="str">
        <f>raceday_22_23[[#This Row],[Raceday Date]]&amp;raceday_22_23[[#This Row],[Club]]</f>
        <v>45721Oamaru Harness Racing Club Inc</v>
      </c>
      <c r="AA173" s="5">
        <f>0.03*raceday_22_23[[#This Row],[Export TO (AUD)]]</f>
        <v>14134.733099999999</v>
      </c>
      <c r="AB173" s="5">
        <f>_xlfn.XLOOKUP(raceday_22_23[[#This Row],[Helper]],'Betcha Integrated'!A:A,'Betcha Integrated'!F:F, 0)</f>
        <v>592904.95879999897</v>
      </c>
      <c r="AC173" s="5">
        <f>_xlfn.XLOOKUP(raceday_22_23[[#This Row],[Helper]],'Betcha Integrated'!A:A,'Betcha Integrated'!G:G, 0)</f>
        <v>41044.642899999897</v>
      </c>
      <c r="AD173" s="5">
        <f>raceday_22_23[[#This Row],[Export Earned]]+raceday_22_23[[#This Row],[Betcha Inc. GBR]]</f>
        <v>55179.375999999895</v>
      </c>
      <c r="AE173" s="88">
        <f>ROUND(raceday_22_23[[#This Row],[Fav. Win %]]*raceday_22_23[[#This Row],[Races]], 0)</f>
        <v>2</v>
      </c>
    </row>
    <row r="174" spans="1:31" x14ac:dyDescent="0.3">
      <c r="A174" s="8">
        <v>45723</v>
      </c>
      <c r="B174" s="3" t="s">
        <v>77</v>
      </c>
      <c r="C174" s="3" t="s">
        <v>105</v>
      </c>
      <c r="D174" s="3" t="s">
        <v>81</v>
      </c>
      <c r="E174" s="3">
        <v>11</v>
      </c>
      <c r="F174" s="3">
        <v>115</v>
      </c>
      <c r="G174" s="3">
        <v>10.5</v>
      </c>
      <c r="H174" s="4">
        <v>0.27300000000000002</v>
      </c>
      <c r="I174" s="5">
        <v>146818</v>
      </c>
      <c r="J174" s="5">
        <v>13347</v>
      </c>
      <c r="K174" s="4">
        <v>0.92500000000000004</v>
      </c>
      <c r="L174" s="4">
        <v>0.182</v>
      </c>
      <c r="M174" s="5">
        <v>941811</v>
      </c>
      <c r="N174" s="5">
        <v>135738</v>
      </c>
      <c r="O174" s="5">
        <v>180224.17</v>
      </c>
      <c r="P174" s="119">
        <f>_xlfn.XLOOKUP(raceday_22_23[[#This Row],[Helper]],'Betcha Integrated'!A:A,'Betcha Integrated'!H:H,0)</f>
        <v>297760.96000000002</v>
      </c>
      <c r="Q174" s="4">
        <v>0.14399999999999999</v>
      </c>
      <c r="R174" s="4">
        <v>0.753</v>
      </c>
      <c r="S174" s="18">
        <v>5.226</v>
      </c>
      <c r="T174" s="10">
        <v>981277</v>
      </c>
      <c r="U174" s="10">
        <v>194035</v>
      </c>
      <c r="V174" s="11">
        <v>0.19800000000000001</v>
      </c>
      <c r="W174" s="12">
        <f>IF(raceday_22_23[[#This Row],[Last Year Turnover]]=0, "No Corresponding PY Meeting", (raceday_22_23[[#This Row],[Betcha Inc. TO]]-raceday_22_23[[#This Row],[Last Year Turnover]])/raceday_22_23[[#This Row],[Last Year Turnover]])</f>
        <v>1.1849299840920592E-2</v>
      </c>
      <c r="X174" s="3">
        <f>MONTH(raceday_22_23[[#This Row],[Raceday Date]])</f>
        <v>3</v>
      </c>
      <c r="Y17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4" s="3" t="str">
        <f>raceday_22_23[[#This Row],[Raceday Date]]&amp;raceday_22_23[[#This Row],[Club]]</f>
        <v>45723Westport Trotting Club Inc</v>
      </c>
      <c r="AA174" s="5">
        <f>0.03*raceday_22_23[[#This Row],[Export TO (AUD)]]</f>
        <v>8932.8288000000011</v>
      </c>
      <c r="AB174" s="5">
        <f>_xlfn.XLOOKUP(raceday_22_23[[#This Row],[Helper]],'Betcha Integrated'!A:A,'Betcha Integrated'!F:F, 0)</f>
        <v>992904.44539999904</v>
      </c>
      <c r="AC174" s="5">
        <f>_xlfn.XLOOKUP(raceday_22_23[[#This Row],[Helper]],'Betcha Integrated'!A:A,'Betcha Integrated'!G:G, 0)</f>
        <v>146533.58949999989</v>
      </c>
      <c r="AD174" s="5">
        <f>raceday_22_23[[#This Row],[Export Earned]]+raceday_22_23[[#This Row],[Betcha Inc. GBR]]</f>
        <v>155466.41829999987</v>
      </c>
      <c r="AE174" s="88">
        <f>ROUND(raceday_22_23[[#This Row],[Fav. Win %]]*raceday_22_23[[#This Row],[Races]], 0)</f>
        <v>3</v>
      </c>
    </row>
    <row r="175" spans="1:31" x14ac:dyDescent="0.3">
      <c r="A175" s="8">
        <v>45723</v>
      </c>
      <c r="B175" s="3" t="s">
        <v>77</v>
      </c>
      <c r="C175" s="3" t="s">
        <v>78</v>
      </c>
      <c r="D175" s="3" t="s">
        <v>79</v>
      </c>
      <c r="E175" s="3">
        <v>8</v>
      </c>
      <c r="F175" s="3">
        <v>56</v>
      </c>
      <c r="G175" s="3">
        <v>7</v>
      </c>
      <c r="H175" s="4">
        <v>0.125</v>
      </c>
      <c r="I175" s="5">
        <v>140245</v>
      </c>
      <c r="J175" s="5">
        <v>17531</v>
      </c>
      <c r="K175" s="4">
        <v>1.3959999999999999</v>
      </c>
      <c r="L175" s="4">
        <v>0.125</v>
      </c>
      <c r="M175" s="5">
        <v>555203</v>
      </c>
      <c r="N175" s="5">
        <v>195713</v>
      </c>
      <c r="O175" s="5">
        <v>166650.63</v>
      </c>
      <c r="P175" s="119">
        <f>_xlfn.XLOOKUP(raceday_22_23[[#This Row],[Helper]],'Betcha Integrated'!A:A,'Betcha Integrated'!H:H,0)</f>
        <v>280213.88</v>
      </c>
      <c r="Q175" s="4">
        <v>0.35299999999999998</v>
      </c>
      <c r="R175" s="4">
        <v>1.1739999999999999</v>
      </c>
      <c r="S175" s="18">
        <v>3.3319999999999999</v>
      </c>
      <c r="T175" s="10">
        <v>445430</v>
      </c>
      <c r="U175" s="10">
        <v>30132</v>
      </c>
      <c r="V175" s="11">
        <v>6.8000000000000005E-2</v>
      </c>
      <c r="W175" s="12">
        <f>IF(raceday_22_23[[#This Row],[Last Year Turnover]]=0, "No Corresponding PY Meeting", (raceday_22_23[[#This Row],[Betcha Inc. TO]]-raceday_22_23[[#This Row],[Last Year Turnover]])/raceday_22_23[[#This Row],[Last Year Turnover]])</f>
        <v>0.34343960128415241</v>
      </c>
      <c r="X175" s="3">
        <f>MONTH(raceday_22_23[[#This Row],[Raceday Date]])</f>
        <v>3</v>
      </c>
      <c r="Y17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5" s="3" t="str">
        <f>raceday_22_23[[#This Row],[Raceday Date]]&amp;raceday_22_23[[#This Row],[Club]]</f>
        <v>45723Auckland Trotting Club Inc</v>
      </c>
      <c r="AA175" s="5">
        <f>0.03*raceday_22_23[[#This Row],[Export TO (AUD)]]</f>
        <v>8406.4164000000001</v>
      </c>
      <c r="AB175" s="5">
        <f>_xlfn.XLOOKUP(raceday_22_23[[#This Row],[Helper]],'Betcha Integrated'!A:A,'Betcha Integrated'!F:F, 0)</f>
        <v>598408.30160000001</v>
      </c>
      <c r="AC175" s="5">
        <f>_xlfn.XLOOKUP(raceday_22_23[[#This Row],[Helper]],'Betcha Integrated'!A:A,'Betcha Integrated'!G:G, 0)</f>
        <v>221157.2513</v>
      </c>
      <c r="AD175" s="5">
        <f>raceday_22_23[[#This Row],[Export Earned]]+raceday_22_23[[#This Row],[Betcha Inc. GBR]]</f>
        <v>229563.66769999999</v>
      </c>
      <c r="AE175" s="88">
        <f>ROUND(raceday_22_23[[#This Row],[Fav. Win %]]*raceday_22_23[[#This Row],[Races]], 0)</f>
        <v>1</v>
      </c>
    </row>
    <row r="176" spans="1:31" x14ac:dyDescent="0.3">
      <c r="A176" s="8">
        <v>45724</v>
      </c>
      <c r="B176" s="3" t="s">
        <v>93</v>
      </c>
      <c r="C176" s="3" t="s">
        <v>97</v>
      </c>
      <c r="D176" s="3" t="s">
        <v>76</v>
      </c>
      <c r="E176" s="3">
        <v>10</v>
      </c>
      <c r="F176" s="3">
        <v>95</v>
      </c>
      <c r="G176" s="3">
        <v>9.5</v>
      </c>
      <c r="H176" s="4">
        <v>0.2</v>
      </c>
      <c r="I176" s="5">
        <v>153600</v>
      </c>
      <c r="J176" s="5">
        <v>15360</v>
      </c>
      <c r="K176" s="4">
        <v>0.81100000000000005</v>
      </c>
      <c r="L176" s="4">
        <v>0.1</v>
      </c>
      <c r="M176" s="5">
        <v>491118</v>
      </c>
      <c r="N176" s="5">
        <v>124504</v>
      </c>
      <c r="O176" s="5">
        <v>158821.24</v>
      </c>
      <c r="P176" s="119">
        <f>_xlfn.XLOOKUP(raceday_22_23[[#This Row],[Helper]],'Betcha Integrated'!A:A,'Betcha Integrated'!H:H,0)</f>
        <v>167266.51</v>
      </c>
      <c r="Q176" s="4">
        <v>0.254</v>
      </c>
      <c r="R176" s="4">
        <v>0.78400000000000003</v>
      </c>
      <c r="S176" s="18">
        <v>3.0920000000000001</v>
      </c>
      <c r="T176" s="10">
        <v>529331</v>
      </c>
      <c r="U176" s="10">
        <v>75650</v>
      </c>
      <c r="V176" s="11">
        <v>0.14299999999999999</v>
      </c>
      <c r="W176" s="12">
        <f>IF(raceday_22_23[[#This Row],[Last Year Turnover]]=0, "No Corresponding PY Meeting", (raceday_22_23[[#This Row],[Betcha Inc. TO]]-raceday_22_23[[#This Row],[Last Year Turnover]])/raceday_22_23[[#This Row],[Last Year Turnover]])</f>
        <v>-2.7831347493347234E-2</v>
      </c>
      <c r="X176" s="3">
        <f>MONTH(raceday_22_23[[#This Row],[Raceday Date]])</f>
        <v>3</v>
      </c>
      <c r="Y17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6" s="3" t="str">
        <f>raceday_22_23[[#This Row],[Raceday Date]]&amp;raceday_22_23[[#This Row],[Club]]</f>
        <v>45724Northern Southland Trotting Club Inc</v>
      </c>
      <c r="AA176" s="5">
        <f>0.03*raceday_22_23[[#This Row],[Export TO (AUD)]]</f>
        <v>5017.9953000000005</v>
      </c>
      <c r="AB176" s="5">
        <f>_xlfn.XLOOKUP(raceday_22_23[[#This Row],[Helper]],'Betcha Integrated'!A:A,'Betcha Integrated'!F:F, 0)</f>
        <v>514599.00499999902</v>
      </c>
      <c r="AC176" s="5">
        <f>_xlfn.XLOOKUP(raceday_22_23[[#This Row],[Helper]],'Betcha Integrated'!A:A,'Betcha Integrated'!G:G, 0)</f>
        <v>130479.9430999999</v>
      </c>
      <c r="AD176" s="5">
        <f>raceday_22_23[[#This Row],[Export Earned]]+raceday_22_23[[#This Row],[Betcha Inc. GBR]]</f>
        <v>135497.9383999999</v>
      </c>
      <c r="AE176" s="88">
        <f>ROUND(raceday_22_23[[#This Row],[Fav. Win %]]*raceday_22_23[[#This Row],[Races]], 0)</f>
        <v>2</v>
      </c>
    </row>
    <row r="177" spans="1:31" x14ac:dyDescent="0.3">
      <c r="A177" s="8">
        <v>45725</v>
      </c>
      <c r="B177" s="3" t="s">
        <v>82</v>
      </c>
      <c r="C177" s="3" t="s">
        <v>106</v>
      </c>
      <c r="D177" s="3" t="s">
        <v>81</v>
      </c>
      <c r="E177" s="3">
        <v>11</v>
      </c>
      <c r="F177" s="3">
        <v>123</v>
      </c>
      <c r="G177" s="3">
        <v>11.2</v>
      </c>
      <c r="H177" s="4">
        <v>0.45500000000000002</v>
      </c>
      <c r="I177" s="5">
        <v>144074</v>
      </c>
      <c r="J177" s="5">
        <v>13098</v>
      </c>
      <c r="K177" s="4">
        <v>0.67</v>
      </c>
      <c r="L177" s="4">
        <v>0.182</v>
      </c>
      <c r="M177" s="5">
        <v>944401</v>
      </c>
      <c r="N177" s="5">
        <v>96513</v>
      </c>
      <c r="O177" s="5">
        <v>170263.99</v>
      </c>
      <c r="P177" s="119">
        <f>_xlfn.XLOOKUP(raceday_22_23[[#This Row],[Helper]],'Betcha Integrated'!A:A,'Betcha Integrated'!H:H,0)</f>
        <v>240753.7</v>
      </c>
      <c r="Q177" s="4">
        <v>0.10199999999999999</v>
      </c>
      <c r="R177" s="4">
        <v>0.56699999999999995</v>
      </c>
      <c r="S177" s="18">
        <v>5.5469999999999997</v>
      </c>
      <c r="T177" s="10">
        <v>869544</v>
      </c>
      <c r="U177" s="10">
        <v>104968</v>
      </c>
      <c r="V177" s="11">
        <v>0.121</v>
      </c>
      <c r="W177" s="12">
        <f>IF(raceday_22_23[[#This Row],[Last Year Turnover]]=0, "No Corresponding PY Meeting", (raceday_22_23[[#This Row],[Betcha Inc. TO]]-raceday_22_23[[#This Row],[Last Year Turnover]])/raceday_22_23[[#This Row],[Last Year Turnover]])</f>
        <v>0.15311186943961433</v>
      </c>
      <c r="X177" s="3">
        <f>MONTH(raceday_22_23[[#This Row],[Raceday Date]])</f>
        <v>3</v>
      </c>
      <c r="Y17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7" s="3" t="str">
        <f>raceday_22_23[[#This Row],[Raceday Date]]&amp;raceday_22_23[[#This Row],[Club]]</f>
        <v>45725Reefton Trotting Club Inc</v>
      </c>
      <c r="AA177" s="5">
        <f>0.03*raceday_22_23[[#This Row],[Export TO (AUD)]]</f>
        <v>7222.6109999999999</v>
      </c>
      <c r="AB177" s="5">
        <f>_xlfn.XLOOKUP(raceday_22_23[[#This Row],[Helper]],'Betcha Integrated'!A:A,'Betcha Integrated'!F:F, 0)</f>
        <v>1002681.5074</v>
      </c>
      <c r="AC177" s="5">
        <f>_xlfn.XLOOKUP(raceday_22_23[[#This Row],[Helper]],'Betcha Integrated'!A:A,'Betcha Integrated'!G:G, 0)</f>
        <v>94522.71130000001</v>
      </c>
      <c r="AD177" s="5">
        <f>raceday_22_23[[#This Row],[Export Earned]]+raceday_22_23[[#This Row],[Betcha Inc. GBR]]</f>
        <v>101745.32230000001</v>
      </c>
      <c r="AE177" s="88">
        <f>ROUND(raceday_22_23[[#This Row],[Fav. Win %]]*raceday_22_23[[#This Row],[Races]], 0)</f>
        <v>5</v>
      </c>
    </row>
    <row r="178" spans="1:31" x14ac:dyDescent="0.3">
      <c r="A178" s="8">
        <v>45727</v>
      </c>
      <c r="B178" s="3" t="s">
        <v>83</v>
      </c>
      <c r="C178" s="3" t="s">
        <v>101</v>
      </c>
      <c r="D178" s="3" t="s">
        <v>79</v>
      </c>
      <c r="E178" s="3">
        <v>9</v>
      </c>
      <c r="F178" s="3">
        <v>70</v>
      </c>
      <c r="G178" s="3">
        <v>7.8</v>
      </c>
      <c r="H178" s="4">
        <v>0.44400000000000001</v>
      </c>
      <c r="I178" s="5">
        <v>99125</v>
      </c>
      <c r="J178" s="5">
        <v>11014</v>
      </c>
      <c r="K178" s="4">
        <v>0.745</v>
      </c>
      <c r="L178" s="4">
        <v>0.111</v>
      </c>
      <c r="M178" s="5">
        <v>435547</v>
      </c>
      <c r="N178" s="5">
        <v>73855</v>
      </c>
      <c r="O178" s="5">
        <v>116442.55</v>
      </c>
      <c r="P178" s="119">
        <f>_xlfn.XLOOKUP(raceday_22_23[[#This Row],[Helper]],'Betcha Integrated'!A:A,'Betcha Integrated'!H:H,0)</f>
        <v>509427.47</v>
      </c>
      <c r="Q178" s="4">
        <v>0.17</v>
      </c>
      <c r="R178" s="4">
        <v>0.63400000000000001</v>
      </c>
      <c r="S178" s="18">
        <v>3.74</v>
      </c>
      <c r="T178" s="10">
        <v>301046</v>
      </c>
      <c r="U178" s="10">
        <v>117418</v>
      </c>
      <c r="V178" s="11">
        <v>0.39</v>
      </c>
      <c r="W178" s="12">
        <f>IF(raceday_22_23[[#This Row],[Last Year Turnover]]=0, "No Corresponding PY Meeting", (raceday_22_23[[#This Row],[Betcha Inc. TO]]-raceday_22_23[[#This Row],[Last Year Turnover]])/raceday_22_23[[#This Row],[Last Year Turnover]])</f>
        <v>0.44677889757711448</v>
      </c>
      <c r="X178" s="3">
        <f>MONTH(raceday_22_23[[#This Row],[Raceday Date]])</f>
        <v>3</v>
      </c>
      <c r="Y17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8" s="3" t="str">
        <f>raceday_22_23[[#This Row],[Raceday Date]]&amp;raceday_22_23[[#This Row],[Club]]</f>
        <v>45727Manawatu Harness Racing Club Inc</v>
      </c>
      <c r="AA178" s="5">
        <f>0.03*raceday_22_23[[#This Row],[Export TO (AUD)]]</f>
        <v>15282.824099999998</v>
      </c>
      <c r="AB178" s="5">
        <f>_xlfn.XLOOKUP(raceday_22_23[[#This Row],[Helper]],'Betcha Integrated'!A:A,'Betcha Integrated'!F:F, 0)</f>
        <v>435547</v>
      </c>
      <c r="AC178" s="5">
        <f>_xlfn.XLOOKUP(raceday_22_23[[#This Row],[Helper]],'Betcha Integrated'!A:A,'Betcha Integrated'!G:G, 0)</f>
        <v>73855</v>
      </c>
      <c r="AD178" s="5">
        <f>raceday_22_23[[#This Row],[Export Earned]]+raceday_22_23[[#This Row],[Betcha Inc. GBR]]</f>
        <v>89137.824099999998</v>
      </c>
      <c r="AE178" s="88">
        <f>ROUND(raceday_22_23[[#This Row],[Fav. Win %]]*raceday_22_23[[#This Row],[Races]], 0)</f>
        <v>4</v>
      </c>
    </row>
    <row r="179" spans="1:31" x14ac:dyDescent="0.3">
      <c r="A179" s="8">
        <v>45728</v>
      </c>
      <c r="B179" s="3" t="s">
        <v>96</v>
      </c>
      <c r="C179" s="3" t="s">
        <v>85</v>
      </c>
      <c r="D179" s="3" t="s">
        <v>76</v>
      </c>
      <c r="E179" s="3">
        <v>6</v>
      </c>
      <c r="F179" s="3">
        <v>45</v>
      </c>
      <c r="G179" s="3">
        <v>7.5</v>
      </c>
      <c r="H179" s="4">
        <v>0.33300000000000002</v>
      </c>
      <c r="I179" s="5">
        <v>55275</v>
      </c>
      <c r="J179" s="5">
        <v>9212</v>
      </c>
      <c r="K179" s="4">
        <v>1.113</v>
      </c>
      <c r="L179" s="4">
        <v>0</v>
      </c>
      <c r="M179" s="5">
        <v>244917</v>
      </c>
      <c r="N179" s="5">
        <v>61500</v>
      </c>
      <c r="O179" s="5">
        <v>80207.86</v>
      </c>
      <c r="P179" s="119">
        <f>_xlfn.XLOOKUP(raceday_22_23[[#This Row],[Helper]],'Betcha Integrated'!A:A,'Betcha Integrated'!H:H,0)</f>
        <v>152784.31</v>
      </c>
      <c r="Q179" s="4">
        <v>0.251</v>
      </c>
      <c r="R179" s="4">
        <v>0.76700000000000002</v>
      </c>
      <c r="S179" s="18">
        <v>3.0539999999999998</v>
      </c>
      <c r="T179" s="10">
        <v>0</v>
      </c>
      <c r="U179" s="10">
        <v>0</v>
      </c>
      <c r="V179" s="11">
        <v>0</v>
      </c>
      <c r="W17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79" s="3">
        <f>MONTH(raceday_22_23[[#This Row],[Raceday Date]])</f>
        <v>3</v>
      </c>
      <c r="Y17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79" s="3" t="str">
        <f>raceday_22_23[[#This Row],[Raceday Date]]&amp;raceday_22_23[[#This Row],[Club]]</f>
        <v>45728Invercargill Harness Racing Club Inc</v>
      </c>
      <c r="AA179" s="5">
        <f>0.03*raceday_22_23[[#This Row],[Export TO (AUD)]]</f>
        <v>4583.5293000000001</v>
      </c>
      <c r="AB179" s="5">
        <f>_xlfn.XLOOKUP(raceday_22_23[[#This Row],[Helper]],'Betcha Integrated'!A:A,'Betcha Integrated'!F:F, 0)</f>
        <v>260298.33020000003</v>
      </c>
      <c r="AC179" s="5">
        <f>_xlfn.XLOOKUP(raceday_22_23[[#This Row],[Helper]],'Betcha Integrated'!A:A,'Betcha Integrated'!G:G, 0)</f>
        <v>59461.329499999993</v>
      </c>
      <c r="AD179" s="5">
        <f>raceday_22_23[[#This Row],[Export Earned]]+raceday_22_23[[#This Row],[Betcha Inc. GBR]]</f>
        <v>64044.858799999995</v>
      </c>
      <c r="AE179" s="88">
        <f>ROUND(raceday_22_23[[#This Row],[Fav. Win %]]*raceday_22_23[[#This Row],[Races]], 0)</f>
        <v>2</v>
      </c>
    </row>
    <row r="180" spans="1:31" x14ac:dyDescent="0.3">
      <c r="A180" s="8">
        <v>45729</v>
      </c>
      <c r="B180" s="3" t="s">
        <v>74</v>
      </c>
      <c r="C180" s="3" t="s">
        <v>101</v>
      </c>
      <c r="D180" s="3" t="s">
        <v>79</v>
      </c>
      <c r="E180" s="3">
        <v>8</v>
      </c>
      <c r="F180" s="3">
        <v>68</v>
      </c>
      <c r="G180" s="3">
        <v>8.5</v>
      </c>
      <c r="H180" s="4">
        <v>0.625</v>
      </c>
      <c r="I180" s="5">
        <v>104219</v>
      </c>
      <c r="J180" s="5">
        <v>13027</v>
      </c>
      <c r="K180" s="4">
        <v>0.78900000000000003</v>
      </c>
      <c r="L180" s="4">
        <v>0.125</v>
      </c>
      <c r="M180" s="5">
        <v>390498</v>
      </c>
      <c r="N180" s="5">
        <v>82276</v>
      </c>
      <c r="O180" s="5">
        <v>120141.3</v>
      </c>
      <c r="P180" s="119">
        <f>_xlfn.XLOOKUP(raceday_22_23[[#This Row],[Helper]],'Betcha Integrated'!A:A,'Betcha Integrated'!H:H,0)</f>
        <v>207323.3</v>
      </c>
      <c r="Q180" s="4">
        <v>0.21099999999999999</v>
      </c>
      <c r="R180" s="4">
        <v>0.68500000000000005</v>
      </c>
      <c r="S180" s="18">
        <v>3.25</v>
      </c>
      <c r="T180" s="10">
        <v>449726</v>
      </c>
      <c r="U180" s="10">
        <v>101680</v>
      </c>
      <c r="V180" s="11">
        <v>0.22600000000000001</v>
      </c>
      <c r="W180" s="12">
        <f>IF(raceday_22_23[[#This Row],[Last Year Turnover]]=0, "No Corresponding PY Meeting", (raceday_22_23[[#This Row],[Betcha Inc. TO]]-raceday_22_23[[#This Row],[Last Year Turnover]])/raceday_22_23[[#This Row],[Last Year Turnover]])</f>
        <v>-0.13169796720669918</v>
      </c>
      <c r="X180" s="3">
        <f>MONTH(raceday_22_23[[#This Row],[Raceday Date]])</f>
        <v>3</v>
      </c>
      <c r="Y18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0" s="3" t="str">
        <f>raceday_22_23[[#This Row],[Raceday Date]]&amp;raceday_22_23[[#This Row],[Club]]</f>
        <v>45729Manawatu Harness Racing Club Inc</v>
      </c>
      <c r="AA180" s="5">
        <f>0.03*raceday_22_23[[#This Row],[Export TO (AUD)]]</f>
        <v>6219.6989999999996</v>
      </c>
      <c r="AB180" s="5">
        <f>_xlfn.XLOOKUP(raceday_22_23[[#This Row],[Helper]],'Betcha Integrated'!A:A,'Betcha Integrated'!F:F, 0)</f>
        <v>390498</v>
      </c>
      <c r="AC180" s="5">
        <f>_xlfn.XLOOKUP(raceday_22_23[[#This Row],[Helper]],'Betcha Integrated'!A:A,'Betcha Integrated'!G:G, 0)</f>
        <v>82276</v>
      </c>
      <c r="AD180" s="5">
        <f>raceday_22_23[[#This Row],[Export Earned]]+raceday_22_23[[#This Row],[Betcha Inc. GBR]]</f>
        <v>88495.698999999993</v>
      </c>
      <c r="AE180" s="88">
        <f>ROUND(raceday_22_23[[#This Row],[Fav. Win %]]*raceday_22_23[[#This Row],[Races]], 0)</f>
        <v>5</v>
      </c>
    </row>
    <row r="181" spans="1:31" x14ac:dyDescent="0.3">
      <c r="A181" s="8">
        <v>45730</v>
      </c>
      <c r="B181" s="3" t="s">
        <v>77</v>
      </c>
      <c r="C181" s="3" t="s">
        <v>80</v>
      </c>
      <c r="D181" s="3" t="s">
        <v>81</v>
      </c>
      <c r="E181" s="3">
        <v>12</v>
      </c>
      <c r="F181" s="3">
        <v>118</v>
      </c>
      <c r="G181" s="3">
        <v>9.8000000000000007</v>
      </c>
      <c r="H181" s="4">
        <v>0.58299999999999996</v>
      </c>
      <c r="I181" s="5">
        <v>300961</v>
      </c>
      <c r="J181" s="5">
        <v>25080</v>
      </c>
      <c r="K181" s="4">
        <v>0.16300000000000001</v>
      </c>
      <c r="L181" s="4">
        <v>0.16700000000000001</v>
      </c>
      <c r="M181" s="5">
        <v>988755</v>
      </c>
      <c r="N181" s="5">
        <v>48961</v>
      </c>
      <c r="O181" s="5">
        <v>338761.92</v>
      </c>
      <c r="P181" s="119">
        <f>_xlfn.XLOOKUP(raceday_22_23[[#This Row],[Helper]],'Betcha Integrated'!A:A,'Betcha Integrated'!H:H,0)</f>
        <v>434256.49</v>
      </c>
      <c r="Q181" s="4">
        <v>0.05</v>
      </c>
      <c r="R181" s="4">
        <v>0.14499999999999999</v>
      </c>
      <c r="S181" s="18">
        <v>2.919</v>
      </c>
      <c r="T181" s="10">
        <v>908506</v>
      </c>
      <c r="U181" s="10">
        <v>133956</v>
      </c>
      <c r="V181" s="11">
        <v>0.14699999999999999</v>
      </c>
      <c r="W181" s="12">
        <f>IF(raceday_22_23[[#This Row],[Last Year Turnover]]=0, "No Corresponding PY Meeting", (raceday_22_23[[#This Row],[Betcha Inc. TO]]-raceday_22_23[[#This Row],[Last Year Turnover]])/raceday_22_23[[#This Row],[Last Year Turnover]])</f>
        <v>0.18230466248984589</v>
      </c>
      <c r="X181" s="3">
        <f>MONTH(raceday_22_23[[#This Row],[Raceday Date]])</f>
        <v>3</v>
      </c>
      <c r="Y18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1" s="3" t="str">
        <f>raceday_22_23[[#This Row],[Raceday Date]]&amp;raceday_22_23[[#This Row],[Club]]</f>
        <v>45730NZ Metropolitan Trotting Club Inc</v>
      </c>
      <c r="AA181" s="5">
        <f>0.03*raceday_22_23[[#This Row],[Export TO (AUD)]]</f>
        <v>13027.6947</v>
      </c>
      <c r="AB181" s="5">
        <f>_xlfn.XLOOKUP(raceday_22_23[[#This Row],[Helper]],'Betcha Integrated'!A:A,'Betcha Integrated'!F:F, 0)</f>
        <v>1074130.8796999999</v>
      </c>
      <c r="AC181" s="5">
        <f>_xlfn.XLOOKUP(raceday_22_23[[#This Row],[Helper]],'Betcha Integrated'!A:A,'Betcha Integrated'!G:G, 0)</f>
        <v>49350.607300000003</v>
      </c>
      <c r="AD181" s="5">
        <f>raceday_22_23[[#This Row],[Export Earned]]+raceday_22_23[[#This Row],[Betcha Inc. GBR]]</f>
        <v>62378.302000000003</v>
      </c>
      <c r="AE181" s="88">
        <f>ROUND(raceday_22_23[[#This Row],[Fav. Win %]]*raceday_22_23[[#This Row],[Races]], 0)</f>
        <v>7</v>
      </c>
    </row>
    <row r="182" spans="1:31" x14ac:dyDescent="0.3">
      <c r="A182" s="8">
        <v>45730</v>
      </c>
      <c r="B182" s="3" t="s">
        <v>77</v>
      </c>
      <c r="C182" s="3" t="s">
        <v>78</v>
      </c>
      <c r="D182" s="3" t="s">
        <v>79</v>
      </c>
      <c r="E182" s="3">
        <v>10</v>
      </c>
      <c r="F182" s="3">
        <v>93</v>
      </c>
      <c r="G182" s="3">
        <v>9.3000000000000007</v>
      </c>
      <c r="H182" s="4">
        <v>0.2</v>
      </c>
      <c r="I182" s="5">
        <v>288715</v>
      </c>
      <c r="J182" s="5">
        <v>28872</v>
      </c>
      <c r="K182" s="4">
        <v>0.35799999999999998</v>
      </c>
      <c r="L182" s="4">
        <v>0.1</v>
      </c>
      <c r="M182" s="5">
        <v>711680</v>
      </c>
      <c r="N182" s="5">
        <v>103242</v>
      </c>
      <c r="O182" s="5">
        <v>315010.63</v>
      </c>
      <c r="P182" s="119">
        <f>_xlfn.XLOOKUP(raceday_22_23[[#This Row],[Helper]],'Betcha Integrated'!A:A,'Betcha Integrated'!H:H,0)</f>
        <v>302614.94</v>
      </c>
      <c r="Q182" s="4">
        <v>0.14499999999999999</v>
      </c>
      <c r="R182" s="4">
        <v>0.32800000000000001</v>
      </c>
      <c r="S182" s="18">
        <v>2.2589999999999999</v>
      </c>
      <c r="T182" s="10">
        <v>634477</v>
      </c>
      <c r="U182" s="10">
        <v>132918</v>
      </c>
      <c r="V182" s="11">
        <v>0.20899999999999999</v>
      </c>
      <c r="W182" s="12">
        <f>IF(raceday_22_23[[#This Row],[Last Year Turnover]]=0, "No Corresponding PY Meeting", (raceday_22_23[[#This Row],[Betcha Inc. TO]]-raceday_22_23[[#This Row],[Last Year Turnover]])/raceday_22_23[[#This Row],[Last Year Turnover]])</f>
        <v>0.24135968254168408</v>
      </c>
      <c r="X182" s="3">
        <f>MONTH(raceday_22_23[[#This Row],[Raceday Date]])</f>
        <v>3</v>
      </c>
      <c r="Y18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2" s="3" t="str">
        <f>raceday_22_23[[#This Row],[Raceday Date]]&amp;raceday_22_23[[#This Row],[Club]]</f>
        <v>45730Auckland Trotting Club Inc</v>
      </c>
      <c r="AA182" s="5">
        <f>0.03*raceday_22_23[[#This Row],[Export TO (AUD)]]</f>
        <v>9078.4481999999989</v>
      </c>
      <c r="AB182" s="5">
        <f>_xlfn.XLOOKUP(raceday_22_23[[#This Row],[Helper]],'Betcha Integrated'!A:A,'Betcha Integrated'!F:F, 0)</f>
        <v>787614.16730000009</v>
      </c>
      <c r="AC182" s="5">
        <f>_xlfn.XLOOKUP(raceday_22_23[[#This Row],[Helper]],'Betcha Integrated'!A:A,'Betcha Integrated'!G:G, 0)</f>
        <v>125736.3561</v>
      </c>
      <c r="AD182" s="5">
        <f>raceday_22_23[[#This Row],[Export Earned]]+raceday_22_23[[#This Row],[Betcha Inc. GBR]]</f>
        <v>134814.80430000002</v>
      </c>
      <c r="AE182" s="88">
        <f>ROUND(raceday_22_23[[#This Row],[Fav. Win %]]*raceday_22_23[[#This Row],[Races]], 0)</f>
        <v>2</v>
      </c>
    </row>
    <row r="183" spans="1:31" x14ac:dyDescent="0.3">
      <c r="A183" s="8">
        <v>45731</v>
      </c>
      <c r="B183" s="3" t="s">
        <v>93</v>
      </c>
      <c r="C183" s="3" t="s">
        <v>90</v>
      </c>
      <c r="D183" s="3" t="s">
        <v>76</v>
      </c>
      <c r="E183" s="3">
        <v>8</v>
      </c>
      <c r="F183" s="3">
        <v>84</v>
      </c>
      <c r="G183" s="3">
        <v>10.5</v>
      </c>
      <c r="H183" s="4">
        <v>0.625</v>
      </c>
      <c r="I183" s="5">
        <v>108853</v>
      </c>
      <c r="J183" s="5">
        <v>13607</v>
      </c>
      <c r="K183" s="4">
        <v>0.48699999999999999</v>
      </c>
      <c r="L183" s="4">
        <v>0.5</v>
      </c>
      <c r="M183" s="5">
        <v>396351</v>
      </c>
      <c r="N183" s="5">
        <v>52965</v>
      </c>
      <c r="O183" s="5">
        <v>144134.20000000001</v>
      </c>
      <c r="P183" s="119">
        <f>_xlfn.XLOOKUP(raceday_22_23[[#This Row],[Helper]],'Betcha Integrated'!A:A,'Betcha Integrated'!H:H,0)</f>
        <v>153399.93</v>
      </c>
      <c r="Q183" s="4">
        <v>0.13400000000000001</v>
      </c>
      <c r="R183" s="4">
        <v>0.36699999999999999</v>
      </c>
      <c r="S183" s="18">
        <v>2.75</v>
      </c>
      <c r="T183" s="10">
        <v>746054</v>
      </c>
      <c r="U183" s="10">
        <v>183223</v>
      </c>
      <c r="V183" s="11">
        <v>0.246</v>
      </c>
      <c r="W183" s="12">
        <f>IF(raceday_22_23[[#This Row],[Last Year Turnover]]=0, "No Corresponding PY Meeting", (raceday_22_23[[#This Row],[Betcha Inc. TO]]-raceday_22_23[[#This Row],[Last Year Turnover]])/raceday_22_23[[#This Row],[Last Year Turnover]])</f>
        <v>-0.44405640516638206</v>
      </c>
      <c r="X183" s="3">
        <f>MONTH(raceday_22_23[[#This Row],[Raceday Date]])</f>
        <v>3</v>
      </c>
      <c r="Y18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3" s="3" t="str">
        <f>raceday_22_23[[#This Row],[Raceday Date]]&amp;raceday_22_23[[#This Row],[Club]]</f>
        <v>45731Wyndham Harness Racing Club Inc</v>
      </c>
      <c r="AA183" s="5">
        <f>0.03*raceday_22_23[[#This Row],[Export TO (AUD)]]</f>
        <v>4601.9978999999994</v>
      </c>
      <c r="AB183" s="5">
        <f>_xlfn.XLOOKUP(raceday_22_23[[#This Row],[Helper]],'Betcha Integrated'!A:A,'Betcha Integrated'!F:F, 0)</f>
        <v>414763.94270000001</v>
      </c>
      <c r="AC183" s="5">
        <f>_xlfn.XLOOKUP(raceday_22_23[[#This Row],[Helper]],'Betcha Integrated'!A:A,'Betcha Integrated'!G:G, 0)</f>
        <v>55637.956000000006</v>
      </c>
      <c r="AD183" s="5">
        <f>raceday_22_23[[#This Row],[Export Earned]]+raceday_22_23[[#This Row],[Betcha Inc. GBR]]</f>
        <v>60239.953900000008</v>
      </c>
      <c r="AE183" s="88">
        <f>ROUND(raceday_22_23[[#This Row],[Fav. Win %]]*raceday_22_23[[#This Row],[Races]], 0)</f>
        <v>5</v>
      </c>
    </row>
    <row r="184" spans="1:31" x14ac:dyDescent="0.3">
      <c r="A184" s="8">
        <v>45732</v>
      </c>
      <c r="B184" s="3" t="s">
        <v>82</v>
      </c>
      <c r="C184" s="3" t="s">
        <v>94</v>
      </c>
      <c r="D184" s="3" t="s">
        <v>81</v>
      </c>
      <c r="E184" s="3">
        <v>11</v>
      </c>
      <c r="F184" s="3">
        <v>135</v>
      </c>
      <c r="G184" s="3">
        <v>12.3</v>
      </c>
      <c r="H184" s="4">
        <v>9.0999999999999998E-2</v>
      </c>
      <c r="I184" s="5">
        <v>125490</v>
      </c>
      <c r="J184" s="5">
        <v>11408</v>
      </c>
      <c r="K184" s="4">
        <v>1.8160000000000001</v>
      </c>
      <c r="L184" s="4">
        <v>0.27300000000000002</v>
      </c>
      <c r="M184" s="5">
        <v>946371</v>
      </c>
      <c r="N184" s="5">
        <v>227917</v>
      </c>
      <c r="O184" s="5">
        <v>170175.33</v>
      </c>
      <c r="P184" s="119">
        <f>_xlfn.XLOOKUP(raceday_22_23[[#This Row],[Helper]],'Betcha Integrated'!A:A,'Betcha Integrated'!H:H,0)</f>
        <v>197073.83</v>
      </c>
      <c r="Q184" s="4">
        <v>0.24099999999999999</v>
      </c>
      <c r="R184" s="4">
        <v>1.339</v>
      </c>
      <c r="S184" s="18">
        <v>5.5609999999999999</v>
      </c>
      <c r="T184" s="10">
        <v>1071851</v>
      </c>
      <c r="U184" s="10">
        <v>161881</v>
      </c>
      <c r="V184" s="11">
        <v>0.151</v>
      </c>
      <c r="W184" s="12">
        <f>IF(raceday_22_23[[#This Row],[Last Year Turnover]]=0, "No Corresponding PY Meeting", (raceday_22_23[[#This Row],[Betcha Inc. TO]]-raceday_22_23[[#This Row],[Last Year Turnover]])/raceday_22_23[[#This Row],[Last Year Turnover]])</f>
        <v>-7.2019507562151822E-2</v>
      </c>
      <c r="X184" s="3">
        <f>MONTH(raceday_22_23[[#This Row],[Raceday Date]])</f>
        <v>3</v>
      </c>
      <c r="Y18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4" s="3" t="str">
        <f>raceday_22_23[[#This Row],[Raceday Date]]&amp;raceday_22_23[[#This Row],[Club]]</f>
        <v>45732Banks Peninsula Trotting Club Inc</v>
      </c>
      <c r="AA184" s="5">
        <f>0.03*raceday_22_23[[#This Row],[Export TO (AUD)]]</f>
        <v>5912.214899999999</v>
      </c>
      <c r="AB184" s="5">
        <f>_xlfn.XLOOKUP(raceday_22_23[[#This Row],[Helper]],'Betcha Integrated'!A:A,'Betcha Integrated'!F:F, 0)</f>
        <v>994656.81880000001</v>
      </c>
      <c r="AC184" s="5">
        <f>_xlfn.XLOOKUP(raceday_22_23[[#This Row],[Helper]],'Betcha Integrated'!A:A,'Betcha Integrated'!G:G, 0)</f>
        <v>250790.18580000001</v>
      </c>
      <c r="AD184" s="5">
        <f>raceday_22_23[[#This Row],[Export Earned]]+raceday_22_23[[#This Row],[Betcha Inc. GBR]]</f>
        <v>256702.4007</v>
      </c>
      <c r="AE184" s="88">
        <f>ROUND(raceday_22_23[[#This Row],[Fav. Win %]]*raceday_22_23[[#This Row],[Races]], 0)</f>
        <v>1</v>
      </c>
    </row>
    <row r="185" spans="1:31" x14ac:dyDescent="0.3">
      <c r="A185" s="8">
        <v>45732</v>
      </c>
      <c r="B185" s="3" t="s">
        <v>82</v>
      </c>
      <c r="C185" s="3" t="s">
        <v>104</v>
      </c>
      <c r="D185" s="3" t="s">
        <v>76</v>
      </c>
      <c r="E185" s="3">
        <v>4</v>
      </c>
      <c r="F185" s="3">
        <v>41</v>
      </c>
      <c r="G185" s="3">
        <v>10.199999999999999</v>
      </c>
      <c r="H185" s="4">
        <v>0</v>
      </c>
      <c r="I185" s="5">
        <v>46530</v>
      </c>
      <c r="J185" s="5">
        <v>11632</v>
      </c>
      <c r="K185" s="4">
        <v>0.93300000000000005</v>
      </c>
      <c r="L185" s="4">
        <v>0</v>
      </c>
      <c r="M185" s="5">
        <v>178206</v>
      </c>
      <c r="N185" s="5">
        <v>43407</v>
      </c>
      <c r="O185" s="5">
        <v>63856.24</v>
      </c>
      <c r="P185" s="119">
        <f>_xlfn.XLOOKUP(raceday_22_23[[#This Row],[Helper]],'Betcha Integrated'!A:A,'Betcha Integrated'!H:H,0)</f>
        <v>48586.32</v>
      </c>
      <c r="Q185" s="4">
        <v>0.24399999999999999</v>
      </c>
      <c r="R185" s="4">
        <v>0.68</v>
      </c>
      <c r="S185" s="18">
        <v>2.7909999999999999</v>
      </c>
      <c r="T185" s="10">
        <v>0</v>
      </c>
      <c r="U185" s="10">
        <v>0</v>
      </c>
      <c r="V185" s="11">
        <v>0</v>
      </c>
      <c r="W18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85" s="3">
        <f>MONTH(raceday_22_23[[#This Row],[Raceday Date]])</f>
        <v>3</v>
      </c>
      <c r="Y18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5" s="3" t="str">
        <f>raceday_22_23[[#This Row],[Raceday Date]]&amp;raceday_22_23[[#This Row],[Club]]</f>
        <v>45732Forbury Park Trotting Club Inc</v>
      </c>
      <c r="AA185" s="5">
        <f>0.03*raceday_22_23[[#This Row],[Export TO (AUD)]]</f>
        <v>1457.5896</v>
      </c>
      <c r="AB185" s="5">
        <f>_xlfn.XLOOKUP(raceday_22_23[[#This Row],[Helper]],'Betcha Integrated'!A:A,'Betcha Integrated'!F:F, 0)</f>
        <v>191596.15009999997</v>
      </c>
      <c r="AC185" s="5">
        <f>_xlfn.XLOOKUP(raceday_22_23[[#This Row],[Helper]],'Betcha Integrated'!A:A,'Betcha Integrated'!G:G, 0)</f>
        <v>46653.016699999993</v>
      </c>
      <c r="AD185" s="5">
        <f>raceday_22_23[[#This Row],[Export Earned]]+raceday_22_23[[#This Row],[Betcha Inc. GBR]]</f>
        <v>48110.606299999992</v>
      </c>
      <c r="AE185" s="88">
        <f>ROUND(raceday_22_23[[#This Row],[Fav. Win %]]*raceday_22_23[[#This Row],[Races]], 0)</f>
        <v>0</v>
      </c>
    </row>
    <row r="186" spans="1:31" x14ac:dyDescent="0.3">
      <c r="A186" s="8">
        <v>45734</v>
      </c>
      <c r="B186" s="3" t="s">
        <v>83</v>
      </c>
      <c r="C186" s="3" t="s">
        <v>84</v>
      </c>
      <c r="D186" s="3" t="s">
        <v>79</v>
      </c>
      <c r="E186" s="3">
        <v>8</v>
      </c>
      <c r="F186" s="3">
        <v>62</v>
      </c>
      <c r="G186" s="3">
        <v>7.8</v>
      </c>
      <c r="H186" s="4">
        <v>0.25</v>
      </c>
      <c r="I186" s="5">
        <v>59240</v>
      </c>
      <c r="J186" s="5">
        <v>7405</v>
      </c>
      <c r="K186" s="4">
        <v>1.1479999999999999</v>
      </c>
      <c r="L186" s="4">
        <v>0</v>
      </c>
      <c r="M186" s="5">
        <v>299066</v>
      </c>
      <c r="N186" s="5">
        <v>67982</v>
      </c>
      <c r="O186" s="5">
        <v>84426.240000000005</v>
      </c>
      <c r="P186" s="119">
        <f>_xlfn.XLOOKUP(raceday_22_23[[#This Row],[Helper]],'Betcha Integrated'!A:A,'Betcha Integrated'!H:H,0)</f>
        <v>173251.11</v>
      </c>
      <c r="Q186" s="4">
        <v>0.22700000000000001</v>
      </c>
      <c r="R186" s="4">
        <v>0.80500000000000005</v>
      </c>
      <c r="S186" s="18">
        <v>3.5419999999999998</v>
      </c>
      <c r="T186" s="10">
        <v>0</v>
      </c>
      <c r="U186" s="10">
        <v>0</v>
      </c>
      <c r="V186" s="11">
        <v>0</v>
      </c>
      <c r="W18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86" s="3">
        <f>MONTH(raceday_22_23[[#This Row],[Raceday Date]])</f>
        <v>3</v>
      </c>
      <c r="Y18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6" s="3" t="str">
        <f>raceday_22_23[[#This Row],[Raceday Date]]&amp;raceday_22_23[[#This Row],[Club]]</f>
        <v>45734Waikato Bay of Plenty Harness Inc</v>
      </c>
      <c r="AA186" s="5">
        <f>0.03*raceday_22_23[[#This Row],[Export TO (AUD)]]</f>
        <v>5197.5332999999991</v>
      </c>
      <c r="AB186" s="5">
        <f>_xlfn.XLOOKUP(raceday_22_23[[#This Row],[Helper]],'Betcha Integrated'!A:A,'Betcha Integrated'!F:F, 0)</f>
        <v>331601.24739999999</v>
      </c>
      <c r="AC186" s="5">
        <f>_xlfn.XLOOKUP(raceday_22_23[[#This Row],[Helper]],'Betcha Integrated'!A:A,'Betcha Integrated'!G:G, 0)</f>
        <v>72912.106599999999</v>
      </c>
      <c r="AD186" s="5">
        <f>raceday_22_23[[#This Row],[Export Earned]]+raceday_22_23[[#This Row],[Betcha Inc. GBR]]</f>
        <v>78109.639899999995</v>
      </c>
      <c r="AE186" s="88">
        <f>ROUND(raceday_22_23[[#This Row],[Fav. Win %]]*raceday_22_23[[#This Row],[Races]], 0)</f>
        <v>2</v>
      </c>
    </row>
    <row r="187" spans="1:31" x14ac:dyDescent="0.3">
      <c r="A187" s="8">
        <v>45735</v>
      </c>
      <c r="B187" s="3" t="s">
        <v>96</v>
      </c>
      <c r="C187" s="3" t="s">
        <v>80</v>
      </c>
      <c r="D187" s="3" t="s">
        <v>81</v>
      </c>
      <c r="E187" s="3">
        <v>8</v>
      </c>
      <c r="F187" s="3">
        <v>80</v>
      </c>
      <c r="G187" s="3">
        <v>10</v>
      </c>
      <c r="H187" s="4">
        <v>0.25</v>
      </c>
      <c r="I187" s="5">
        <v>61760</v>
      </c>
      <c r="J187" s="5">
        <v>7720</v>
      </c>
      <c r="K187" s="4">
        <v>0.85</v>
      </c>
      <c r="L187" s="4">
        <v>0.125</v>
      </c>
      <c r="M187" s="5">
        <v>450183</v>
      </c>
      <c r="N187" s="5">
        <v>52501</v>
      </c>
      <c r="O187" s="5">
        <v>99666.92</v>
      </c>
      <c r="P187" s="119">
        <f>_xlfn.XLOOKUP(raceday_22_23[[#This Row],[Helper]],'Betcha Integrated'!A:A,'Betcha Integrated'!H:H,0)</f>
        <v>206390.27</v>
      </c>
      <c r="Q187" s="4">
        <v>0.11700000000000001</v>
      </c>
      <c r="R187" s="4">
        <v>0.52700000000000002</v>
      </c>
      <c r="S187" s="18">
        <v>4.5170000000000003</v>
      </c>
      <c r="T187" s="10">
        <v>415953</v>
      </c>
      <c r="U187" s="10">
        <v>106922</v>
      </c>
      <c r="V187" s="11">
        <v>0.25700000000000001</v>
      </c>
      <c r="W187" s="12">
        <f>IF(raceday_22_23[[#This Row],[Last Year Turnover]]=0, "No Corresponding PY Meeting", (raceday_22_23[[#This Row],[Betcha Inc. TO]]-raceday_22_23[[#This Row],[Last Year Turnover]])/raceday_22_23[[#This Row],[Last Year Turnover]])</f>
        <v>0.14017031419415166</v>
      </c>
      <c r="X187" s="3">
        <f>MONTH(raceday_22_23[[#This Row],[Raceday Date]])</f>
        <v>3</v>
      </c>
      <c r="Y18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7" s="3" t="str">
        <f>raceday_22_23[[#This Row],[Raceday Date]]&amp;raceday_22_23[[#This Row],[Club]]</f>
        <v>45735NZ Metropolitan Trotting Club Inc</v>
      </c>
      <c r="AA187" s="5">
        <f>0.03*raceday_22_23[[#This Row],[Export TO (AUD)]]</f>
        <v>6191.7080999999998</v>
      </c>
      <c r="AB187" s="5">
        <f>_xlfn.XLOOKUP(raceday_22_23[[#This Row],[Helper]],'Betcha Integrated'!A:A,'Betcha Integrated'!F:F, 0)</f>
        <v>474257.26269999996</v>
      </c>
      <c r="AC187" s="5">
        <f>_xlfn.XLOOKUP(raceday_22_23[[#This Row],[Helper]],'Betcha Integrated'!A:A,'Betcha Integrated'!G:G, 0)</f>
        <v>57569.679199999999</v>
      </c>
      <c r="AD187" s="5">
        <f>raceday_22_23[[#This Row],[Export Earned]]+raceday_22_23[[#This Row],[Betcha Inc. GBR]]</f>
        <v>63761.387300000002</v>
      </c>
      <c r="AE187" s="88">
        <f>ROUND(raceday_22_23[[#This Row],[Fav. Win %]]*raceday_22_23[[#This Row],[Races]], 0)</f>
        <v>2</v>
      </c>
    </row>
    <row r="188" spans="1:31" x14ac:dyDescent="0.3">
      <c r="A188" s="8">
        <v>45737</v>
      </c>
      <c r="B188" s="3" t="s">
        <v>77</v>
      </c>
      <c r="C188" s="3" t="s">
        <v>80</v>
      </c>
      <c r="D188" s="3" t="s">
        <v>81</v>
      </c>
      <c r="E188" s="3">
        <v>11</v>
      </c>
      <c r="F188" s="3">
        <v>109</v>
      </c>
      <c r="G188" s="3">
        <v>9.9</v>
      </c>
      <c r="H188" s="4">
        <v>0.36399999999999999</v>
      </c>
      <c r="I188" s="5">
        <v>197642</v>
      </c>
      <c r="J188" s="5">
        <v>17967</v>
      </c>
      <c r="K188" s="4">
        <v>0.56000000000000005</v>
      </c>
      <c r="L188" s="4">
        <v>9.0999999999999998E-2</v>
      </c>
      <c r="M188" s="5">
        <v>789517</v>
      </c>
      <c r="N188" s="5">
        <v>110744</v>
      </c>
      <c r="O188" s="5">
        <v>235444.42</v>
      </c>
      <c r="P188" s="119">
        <f>_xlfn.XLOOKUP(raceday_22_23[[#This Row],[Helper]],'Betcha Integrated'!A:A,'Betcha Integrated'!H:H,0)</f>
        <v>290715.25</v>
      </c>
      <c r="Q188" s="4">
        <v>0.14000000000000001</v>
      </c>
      <c r="R188" s="4">
        <v>0.47</v>
      </c>
      <c r="S188" s="18">
        <v>3.3530000000000002</v>
      </c>
      <c r="T188" s="10">
        <v>699538</v>
      </c>
      <c r="U188" s="10">
        <v>83652</v>
      </c>
      <c r="V188" s="11">
        <v>0.12</v>
      </c>
      <c r="W188" s="12">
        <f>IF(raceday_22_23[[#This Row],[Last Year Turnover]]=0, "No Corresponding PY Meeting", (raceday_22_23[[#This Row],[Betcha Inc. TO]]-raceday_22_23[[#This Row],[Last Year Turnover]])/raceday_22_23[[#This Row],[Last Year Turnover]])</f>
        <v>0.22604019667266109</v>
      </c>
      <c r="X188" s="3">
        <f>MONTH(raceday_22_23[[#This Row],[Raceday Date]])</f>
        <v>3</v>
      </c>
      <c r="Y18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8" s="3" t="str">
        <f>raceday_22_23[[#This Row],[Raceday Date]]&amp;raceday_22_23[[#This Row],[Club]]</f>
        <v>45737NZ Metropolitan Trotting Club Inc</v>
      </c>
      <c r="AA188" s="5">
        <f>0.03*raceday_22_23[[#This Row],[Export TO (AUD)]]</f>
        <v>8721.4575000000004</v>
      </c>
      <c r="AB188" s="5">
        <f>_xlfn.XLOOKUP(raceday_22_23[[#This Row],[Helper]],'Betcha Integrated'!A:A,'Betcha Integrated'!F:F, 0)</f>
        <v>857661.7071</v>
      </c>
      <c r="AC188" s="5">
        <f>_xlfn.XLOOKUP(raceday_22_23[[#This Row],[Helper]],'Betcha Integrated'!A:A,'Betcha Integrated'!G:G, 0)</f>
        <v>100077.2494</v>
      </c>
      <c r="AD188" s="5">
        <f>raceday_22_23[[#This Row],[Export Earned]]+raceday_22_23[[#This Row],[Betcha Inc. GBR]]</f>
        <v>108798.7069</v>
      </c>
      <c r="AE188" s="88">
        <f>ROUND(raceday_22_23[[#This Row],[Fav. Win %]]*raceday_22_23[[#This Row],[Races]], 0)</f>
        <v>4</v>
      </c>
    </row>
    <row r="189" spans="1:31" x14ac:dyDescent="0.3">
      <c r="A189" s="8">
        <v>45737</v>
      </c>
      <c r="B189" s="3" t="s">
        <v>77</v>
      </c>
      <c r="C189" s="3" t="s">
        <v>78</v>
      </c>
      <c r="D189" s="3" t="s">
        <v>79</v>
      </c>
      <c r="E189" s="3">
        <v>10</v>
      </c>
      <c r="F189" s="3">
        <v>92</v>
      </c>
      <c r="G189" s="3">
        <v>9.1999999999999993</v>
      </c>
      <c r="H189" s="4">
        <v>0.5</v>
      </c>
      <c r="I189" s="5">
        <v>587388</v>
      </c>
      <c r="J189" s="5">
        <v>58739</v>
      </c>
      <c r="K189" s="4">
        <v>0.109</v>
      </c>
      <c r="L189" s="4">
        <v>0</v>
      </c>
      <c r="M189" s="5">
        <v>835486</v>
      </c>
      <c r="N189" s="5">
        <v>63964</v>
      </c>
      <c r="O189" s="5">
        <v>613688.13</v>
      </c>
      <c r="P189" s="119">
        <f>_xlfn.XLOOKUP(raceday_22_23[[#This Row],[Helper]],'Betcha Integrated'!A:A,'Betcha Integrated'!H:H,0)</f>
        <v>291390.55</v>
      </c>
      <c r="Q189" s="4">
        <v>7.6999999999999999E-2</v>
      </c>
      <c r="R189" s="4">
        <v>0.104</v>
      </c>
      <c r="S189" s="18">
        <v>1.361</v>
      </c>
      <c r="T189" s="10">
        <v>881804</v>
      </c>
      <c r="U189" s="10">
        <v>164668</v>
      </c>
      <c r="V189" s="11">
        <v>0.187</v>
      </c>
      <c r="W189" s="12">
        <f>IF(raceday_22_23[[#This Row],[Last Year Turnover]]=0, "No Corresponding PY Meeting", (raceday_22_23[[#This Row],[Betcha Inc. TO]]-raceday_22_23[[#This Row],[Last Year Turnover]])/raceday_22_23[[#This Row],[Last Year Turnover]])</f>
        <v>3.6769189865321641E-2</v>
      </c>
      <c r="X189" s="3">
        <f>MONTH(raceday_22_23[[#This Row],[Raceday Date]])</f>
        <v>3</v>
      </c>
      <c r="Y18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89" s="3" t="str">
        <f>raceday_22_23[[#This Row],[Raceday Date]]&amp;raceday_22_23[[#This Row],[Club]]</f>
        <v>45737Auckland Trotting Club Inc</v>
      </c>
      <c r="AA189" s="5">
        <f>0.03*raceday_22_23[[#This Row],[Export TO (AUD)]]</f>
        <v>8741.7164999999986</v>
      </c>
      <c r="AB189" s="5">
        <f>_xlfn.XLOOKUP(raceday_22_23[[#This Row],[Helper]],'Betcha Integrated'!A:A,'Betcha Integrated'!F:F, 0)</f>
        <v>914227.21870000008</v>
      </c>
      <c r="AC189" s="5">
        <f>_xlfn.XLOOKUP(raceday_22_23[[#This Row],[Helper]],'Betcha Integrated'!A:A,'Betcha Integrated'!G:G, 0)</f>
        <v>75450.796600000001</v>
      </c>
      <c r="AD189" s="5">
        <f>raceday_22_23[[#This Row],[Export Earned]]+raceday_22_23[[#This Row],[Betcha Inc. GBR]]</f>
        <v>84192.513099999996</v>
      </c>
      <c r="AE189" s="88">
        <f>ROUND(raceday_22_23[[#This Row],[Fav. Win %]]*raceday_22_23[[#This Row],[Races]], 0)</f>
        <v>5</v>
      </c>
    </row>
    <row r="190" spans="1:31" x14ac:dyDescent="0.3">
      <c r="A190" s="8">
        <v>45738</v>
      </c>
      <c r="B190" s="3" t="s">
        <v>93</v>
      </c>
      <c r="C190" s="3" t="s">
        <v>75</v>
      </c>
      <c r="D190" s="3" t="s">
        <v>76</v>
      </c>
      <c r="E190" s="3">
        <v>10</v>
      </c>
      <c r="F190" s="3">
        <v>95</v>
      </c>
      <c r="G190" s="3">
        <v>9.5</v>
      </c>
      <c r="H190" s="4">
        <v>0.2</v>
      </c>
      <c r="I190" s="5">
        <v>126647</v>
      </c>
      <c r="J190" s="5">
        <v>12665</v>
      </c>
      <c r="K190" s="4">
        <v>0.621</v>
      </c>
      <c r="L190" s="4">
        <v>0.1</v>
      </c>
      <c r="M190" s="5">
        <v>376753</v>
      </c>
      <c r="N190" s="5">
        <v>78699</v>
      </c>
      <c r="O190" s="5">
        <v>148958.34</v>
      </c>
      <c r="P190" s="119">
        <f>_xlfn.XLOOKUP(raceday_22_23[[#This Row],[Helper]],'Betcha Integrated'!A:A,'Betcha Integrated'!H:H,0)</f>
        <v>176291.9</v>
      </c>
      <c r="Q190" s="4">
        <v>0.20899999999999999</v>
      </c>
      <c r="R190" s="4">
        <v>0.52800000000000002</v>
      </c>
      <c r="S190" s="18">
        <v>2.5289999999999999</v>
      </c>
      <c r="T190" s="10">
        <v>0</v>
      </c>
      <c r="U190" s="10">
        <v>0</v>
      </c>
      <c r="V190" s="11">
        <v>0</v>
      </c>
      <c r="W19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0" s="3">
        <f>MONTH(raceday_22_23[[#This Row],[Raceday Date]])</f>
        <v>3</v>
      </c>
      <c r="Y19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0" s="3" t="str">
        <f>raceday_22_23[[#This Row],[Raceday Date]]&amp;raceday_22_23[[#This Row],[Club]]</f>
        <v>45738Winton Harness Racing Club Inc</v>
      </c>
      <c r="AA190" s="5">
        <f>0.03*raceday_22_23[[#This Row],[Export TO (AUD)]]</f>
        <v>5288.7569999999996</v>
      </c>
      <c r="AB190" s="5">
        <f>_xlfn.XLOOKUP(raceday_22_23[[#This Row],[Helper]],'Betcha Integrated'!A:A,'Betcha Integrated'!F:F, 0)</f>
        <v>393617.13450000004</v>
      </c>
      <c r="AC190" s="5">
        <f>_xlfn.XLOOKUP(raceday_22_23[[#This Row],[Helper]],'Betcha Integrated'!A:A,'Betcha Integrated'!G:G, 0)</f>
        <v>80895.9565</v>
      </c>
      <c r="AD190" s="5">
        <f>raceday_22_23[[#This Row],[Export Earned]]+raceday_22_23[[#This Row],[Betcha Inc. GBR]]</f>
        <v>86184.713499999998</v>
      </c>
      <c r="AE190" s="88">
        <f>ROUND(raceday_22_23[[#This Row],[Fav. Win %]]*raceday_22_23[[#This Row],[Races]], 0)</f>
        <v>2</v>
      </c>
    </row>
    <row r="191" spans="1:31" x14ac:dyDescent="0.3">
      <c r="A191" s="8">
        <v>45739</v>
      </c>
      <c r="B191" s="3" t="s">
        <v>82</v>
      </c>
      <c r="C191" s="3" t="s">
        <v>119</v>
      </c>
      <c r="D191" s="3" t="s">
        <v>81</v>
      </c>
      <c r="E191" s="3">
        <v>11</v>
      </c>
      <c r="F191" s="3">
        <v>124</v>
      </c>
      <c r="G191" s="3">
        <v>11.3</v>
      </c>
      <c r="H191" s="4">
        <v>0.182</v>
      </c>
      <c r="I191" s="5">
        <v>141890</v>
      </c>
      <c r="J191" s="5">
        <v>12899</v>
      </c>
      <c r="K191" s="4">
        <v>1.446</v>
      </c>
      <c r="L191" s="4">
        <v>0.27300000000000002</v>
      </c>
      <c r="M191" s="5">
        <v>1075713</v>
      </c>
      <c r="N191" s="5">
        <v>205237</v>
      </c>
      <c r="O191" s="5">
        <v>159321.24</v>
      </c>
      <c r="P191" s="119">
        <f>_xlfn.XLOOKUP(raceday_22_23[[#This Row],[Helper]],'Betcha Integrated'!A:A,'Betcha Integrated'!H:H,0)</f>
        <v>221862.09</v>
      </c>
      <c r="Q191" s="4">
        <v>0.191</v>
      </c>
      <c r="R191" s="4">
        <v>1.288</v>
      </c>
      <c r="S191" s="18">
        <v>6.7519999999999998</v>
      </c>
      <c r="T191" s="10">
        <v>845387</v>
      </c>
      <c r="U191" s="10">
        <v>133259</v>
      </c>
      <c r="V191" s="11">
        <v>0.158</v>
      </c>
      <c r="W191" s="12">
        <f>IF(raceday_22_23[[#This Row],[Last Year Turnover]]=0, "No Corresponding PY Meeting", (raceday_22_23[[#This Row],[Betcha Inc. TO]]-raceday_22_23[[#This Row],[Last Year Turnover]])/raceday_22_23[[#This Row],[Last Year Turnover]])</f>
        <v>0.34415426402345917</v>
      </c>
      <c r="X191" s="3">
        <f>MONTH(raceday_22_23[[#This Row],[Raceday Date]])</f>
        <v>3</v>
      </c>
      <c r="Y19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1" s="3" t="str">
        <f>raceday_22_23[[#This Row],[Raceday Date]]&amp;raceday_22_23[[#This Row],[Club]]</f>
        <v>45739Waimate Trotting Club Inc</v>
      </c>
      <c r="AA191" s="5">
        <f>0.03*raceday_22_23[[#This Row],[Export TO (AUD)]]</f>
        <v>6655.8626999999997</v>
      </c>
      <c r="AB191" s="5">
        <f>_xlfn.XLOOKUP(raceday_22_23[[#This Row],[Helper]],'Betcha Integrated'!A:A,'Betcha Integrated'!F:F, 0)</f>
        <v>1136330.5408000001</v>
      </c>
      <c r="AC191" s="5">
        <f>_xlfn.XLOOKUP(raceday_22_23[[#This Row],[Helper]],'Betcha Integrated'!A:A,'Betcha Integrated'!G:G, 0)</f>
        <v>217536.49400000001</v>
      </c>
      <c r="AD191" s="5">
        <f>raceday_22_23[[#This Row],[Export Earned]]+raceday_22_23[[#This Row],[Betcha Inc. GBR]]</f>
        <v>224192.3567</v>
      </c>
      <c r="AE191" s="88">
        <f>ROUND(raceday_22_23[[#This Row],[Fav. Win %]]*raceday_22_23[[#This Row],[Races]], 0)</f>
        <v>2</v>
      </c>
    </row>
    <row r="192" spans="1:31" x14ac:dyDescent="0.3">
      <c r="A192" s="8">
        <v>45741</v>
      </c>
      <c r="B192" s="3" t="s">
        <v>83</v>
      </c>
      <c r="C192" s="3" t="s">
        <v>84</v>
      </c>
      <c r="D192" s="3" t="s">
        <v>79</v>
      </c>
      <c r="E192" s="3">
        <v>7</v>
      </c>
      <c r="F192" s="3">
        <v>51</v>
      </c>
      <c r="G192" s="3">
        <v>7.3</v>
      </c>
      <c r="H192" s="4">
        <v>0.28599999999999998</v>
      </c>
      <c r="I192" s="5">
        <v>51380</v>
      </c>
      <c r="J192" s="5">
        <v>7340</v>
      </c>
      <c r="K192" s="4">
        <v>1.117</v>
      </c>
      <c r="L192" s="4">
        <v>0.14299999999999999</v>
      </c>
      <c r="M192" s="5">
        <v>274329</v>
      </c>
      <c r="N192" s="5">
        <v>57413</v>
      </c>
      <c r="O192" s="5">
        <v>76566.240000000005</v>
      </c>
      <c r="P192" s="119">
        <f>_xlfn.XLOOKUP(raceday_22_23[[#This Row],[Helper]],'Betcha Integrated'!A:A,'Betcha Integrated'!H:H,0)</f>
        <v>179108.68</v>
      </c>
      <c r="Q192" s="4">
        <v>0.20899999999999999</v>
      </c>
      <c r="R192" s="4">
        <v>0.75</v>
      </c>
      <c r="S192" s="18">
        <v>3.5830000000000002</v>
      </c>
      <c r="T192" s="10">
        <v>0</v>
      </c>
      <c r="U192" s="10">
        <v>0</v>
      </c>
      <c r="V192" s="11">
        <v>0</v>
      </c>
      <c r="W19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2" s="3">
        <f>MONTH(raceday_22_23[[#This Row],[Raceday Date]])</f>
        <v>3</v>
      </c>
      <c r="Y19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2" s="3" t="str">
        <f>raceday_22_23[[#This Row],[Raceday Date]]&amp;raceday_22_23[[#This Row],[Club]]</f>
        <v>45741Waikato Bay of Plenty Harness Inc</v>
      </c>
      <c r="AA192" s="5">
        <f>0.03*raceday_22_23[[#This Row],[Export TO (AUD)]]</f>
        <v>5373.2603999999992</v>
      </c>
      <c r="AB192" s="5">
        <f>_xlfn.XLOOKUP(raceday_22_23[[#This Row],[Helper]],'Betcha Integrated'!A:A,'Betcha Integrated'!F:F, 0)</f>
        <v>303779.00619999901</v>
      </c>
      <c r="AC192" s="5">
        <f>_xlfn.XLOOKUP(raceday_22_23[[#This Row],[Helper]],'Betcha Integrated'!A:A,'Betcha Integrated'!G:G, 0)</f>
        <v>63530.318099999902</v>
      </c>
      <c r="AD192" s="5">
        <f>raceday_22_23[[#This Row],[Export Earned]]+raceday_22_23[[#This Row],[Betcha Inc. GBR]]</f>
        <v>68903.578499999901</v>
      </c>
      <c r="AE192" s="88">
        <f>ROUND(raceday_22_23[[#This Row],[Fav. Win %]]*raceday_22_23[[#This Row],[Races]], 0)</f>
        <v>2</v>
      </c>
    </row>
    <row r="193" spans="1:31" x14ac:dyDescent="0.3">
      <c r="A193" s="8">
        <v>45742</v>
      </c>
      <c r="B193" s="3" t="s">
        <v>96</v>
      </c>
      <c r="C193" s="3" t="s">
        <v>86</v>
      </c>
      <c r="D193" s="3" t="s">
        <v>81</v>
      </c>
      <c r="E193" s="3">
        <v>7</v>
      </c>
      <c r="F193" s="3">
        <v>66</v>
      </c>
      <c r="G193" s="3">
        <v>9.4</v>
      </c>
      <c r="H193" s="4">
        <v>0.42899999999999999</v>
      </c>
      <c r="I193" s="5">
        <v>67763</v>
      </c>
      <c r="J193" s="5">
        <v>9680</v>
      </c>
      <c r="K193" s="4">
        <v>0.85699999999999998</v>
      </c>
      <c r="L193" s="4">
        <v>0</v>
      </c>
      <c r="M193" s="5">
        <v>359072</v>
      </c>
      <c r="N193" s="5">
        <v>58064</v>
      </c>
      <c r="O193" s="5">
        <v>97342.74</v>
      </c>
      <c r="P193" s="119">
        <f>_xlfn.XLOOKUP(raceday_22_23[[#This Row],[Helper]],'Betcha Integrated'!A:A,'Betcha Integrated'!H:H,0)</f>
        <v>185256.7</v>
      </c>
      <c r="Q193" s="4">
        <v>0.16200000000000001</v>
      </c>
      <c r="R193" s="4">
        <v>0.59599999999999997</v>
      </c>
      <c r="S193" s="18">
        <v>3.6890000000000001</v>
      </c>
      <c r="T193" s="10">
        <v>0</v>
      </c>
      <c r="U193" s="10">
        <v>0</v>
      </c>
      <c r="V193" s="11">
        <v>0</v>
      </c>
      <c r="W19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3" s="3">
        <f>MONTH(raceday_22_23[[#This Row],[Raceday Date]])</f>
        <v>3</v>
      </c>
      <c r="Y19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3" s="3" t="str">
        <f>raceday_22_23[[#This Row],[Raceday Date]]&amp;raceday_22_23[[#This Row],[Club]]</f>
        <v>45742Ashburton Trotting Club Inc</v>
      </c>
      <c r="AA193" s="5">
        <f>0.03*raceday_22_23[[#This Row],[Export TO (AUD)]]</f>
        <v>5557.701</v>
      </c>
      <c r="AB193" s="5">
        <f>_xlfn.XLOOKUP(raceday_22_23[[#This Row],[Helper]],'Betcha Integrated'!A:A,'Betcha Integrated'!F:F, 0)</f>
        <v>383805.13159999996</v>
      </c>
      <c r="AC193" s="5">
        <f>_xlfn.XLOOKUP(raceday_22_23[[#This Row],[Helper]],'Betcha Integrated'!A:A,'Betcha Integrated'!G:G, 0)</f>
        <v>67212.923200000005</v>
      </c>
      <c r="AD193" s="5">
        <f>raceday_22_23[[#This Row],[Export Earned]]+raceday_22_23[[#This Row],[Betcha Inc. GBR]]</f>
        <v>72770.624200000006</v>
      </c>
      <c r="AE193" s="88">
        <f>ROUND(raceday_22_23[[#This Row],[Fav. Win %]]*raceday_22_23[[#This Row],[Races]], 0)</f>
        <v>3</v>
      </c>
    </row>
    <row r="194" spans="1:31" x14ac:dyDescent="0.3">
      <c r="A194" s="8">
        <v>45744</v>
      </c>
      <c r="B194" s="3" t="s">
        <v>77</v>
      </c>
      <c r="C194" s="3" t="s">
        <v>84</v>
      </c>
      <c r="D194" s="3" t="s">
        <v>79</v>
      </c>
      <c r="E194" s="3">
        <v>9</v>
      </c>
      <c r="F194" s="3">
        <v>88</v>
      </c>
      <c r="G194" s="3">
        <v>9.8000000000000007</v>
      </c>
      <c r="H194" s="4">
        <v>0.44400000000000001</v>
      </c>
      <c r="I194" s="5">
        <v>235950</v>
      </c>
      <c r="J194" s="5">
        <v>26217</v>
      </c>
      <c r="K194" s="4">
        <v>0.51100000000000001</v>
      </c>
      <c r="L194" s="4">
        <v>0.111</v>
      </c>
      <c r="M194" s="5">
        <v>726920</v>
      </c>
      <c r="N194" s="5">
        <v>120597</v>
      </c>
      <c r="O194" s="5">
        <v>261136.24</v>
      </c>
      <c r="P194" s="119">
        <f>_xlfn.XLOOKUP(raceday_22_23[[#This Row],[Helper]],'Betcha Integrated'!A:A,'Betcha Integrated'!H:H,0)</f>
        <v>298302.39</v>
      </c>
      <c r="Q194" s="4">
        <v>0.16600000000000001</v>
      </c>
      <c r="R194" s="4">
        <v>0.46200000000000002</v>
      </c>
      <c r="S194" s="18">
        <v>2.7839999999999998</v>
      </c>
      <c r="T194" s="10">
        <v>758013</v>
      </c>
      <c r="U194" s="10">
        <v>61070</v>
      </c>
      <c r="V194" s="11">
        <v>8.1000000000000003E-2</v>
      </c>
      <c r="W194" s="12">
        <f>IF(raceday_22_23[[#This Row],[Last Year Turnover]]=0, "No Corresponding PY Meeting", (raceday_22_23[[#This Row],[Betcha Inc. TO]]-raceday_22_23[[#This Row],[Last Year Turnover]])/raceday_22_23[[#This Row],[Last Year Turnover]])</f>
        <v>3.203507063863021E-2</v>
      </c>
      <c r="X194" s="3">
        <f>MONTH(raceday_22_23[[#This Row],[Raceday Date]])</f>
        <v>3</v>
      </c>
      <c r="Y19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4" s="3" t="str">
        <f>raceday_22_23[[#This Row],[Raceday Date]]&amp;raceday_22_23[[#This Row],[Club]]</f>
        <v>45744Waikato Bay of Plenty Harness Inc</v>
      </c>
      <c r="AA194" s="5">
        <f>0.03*raceday_22_23[[#This Row],[Export TO (AUD)]]</f>
        <v>8949.0717000000004</v>
      </c>
      <c r="AB194" s="5">
        <f>_xlfn.XLOOKUP(raceday_22_23[[#This Row],[Helper]],'Betcha Integrated'!A:A,'Betcha Integrated'!F:F, 0)</f>
        <v>782296</v>
      </c>
      <c r="AC194" s="5">
        <f>_xlfn.XLOOKUP(raceday_22_23[[#This Row],[Helper]],'Betcha Integrated'!A:A,'Betcha Integrated'!G:G, 0)</f>
        <v>146175</v>
      </c>
      <c r="AD194" s="5">
        <f>raceday_22_23[[#This Row],[Export Earned]]+raceday_22_23[[#This Row],[Betcha Inc. GBR]]</f>
        <v>155124.0717</v>
      </c>
      <c r="AE194" s="88">
        <f>ROUND(raceday_22_23[[#This Row],[Fav. Win %]]*raceday_22_23[[#This Row],[Races]], 0)</f>
        <v>4</v>
      </c>
    </row>
    <row r="195" spans="1:31" x14ac:dyDescent="0.3">
      <c r="A195" s="8">
        <v>45744</v>
      </c>
      <c r="B195" s="3" t="s">
        <v>77</v>
      </c>
      <c r="C195" s="3" t="s">
        <v>80</v>
      </c>
      <c r="D195" s="3" t="s">
        <v>81</v>
      </c>
      <c r="E195" s="3">
        <v>10</v>
      </c>
      <c r="F195" s="3">
        <v>93</v>
      </c>
      <c r="G195" s="3">
        <v>9.3000000000000007</v>
      </c>
      <c r="H195" s="4">
        <v>0.2</v>
      </c>
      <c r="I195" s="5">
        <v>175851</v>
      </c>
      <c r="J195" s="5">
        <v>17585</v>
      </c>
      <c r="K195" s="4">
        <v>1.042</v>
      </c>
      <c r="L195" s="4">
        <v>0</v>
      </c>
      <c r="M195" s="5">
        <v>831982</v>
      </c>
      <c r="N195" s="5">
        <v>183243</v>
      </c>
      <c r="O195" s="5">
        <v>213549.42</v>
      </c>
      <c r="P195" s="119">
        <f>_xlfn.XLOOKUP(raceday_22_23[[#This Row],[Helper]],'Betcha Integrated'!A:A,'Betcha Integrated'!H:H,0)</f>
        <v>278832.94</v>
      </c>
      <c r="Q195" s="4">
        <v>0.22</v>
      </c>
      <c r="R195" s="4">
        <v>0.85799999999999998</v>
      </c>
      <c r="S195" s="18">
        <v>3.8959999999999999</v>
      </c>
      <c r="T195" s="10">
        <v>1092532</v>
      </c>
      <c r="U195" s="10">
        <v>124177</v>
      </c>
      <c r="V195" s="11">
        <v>0.114</v>
      </c>
      <c r="W195" s="12">
        <f>IF(raceday_22_23[[#This Row],[Last Year Turnover]]=0, "No Corresponding PY Meeting", (raceday_22_23[[#This Row],[Betcha Inc. TO]]-raceday_22_23[[#This Row],[Last Year Turnover]])/raceday_22_23[[#This Row],[Last Year Turnover]])</f>
        <v>-0.14457242442326632</v>
      </c>
      <c r="X195" s="3">
        <f>MONTH(raceday_22_23[[#This Row],[Raceday Date]])</f>
        <v>3</v>
      </c>
      <c r="Y19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5" s="3" t="str">
        <f>raceday_22_23[[#This Row],[Raceday Date]]&amp;raceday_22_23[[#This Row],[Club]]</f>
        <v>45744NZ Metropolitan Trotting Club Inc</v>
      </c>
      <c r="AA195" s="5">
        <f>0.03*raceday_22_23[[#This Row],[Export TO (AUD)]]</f>
        <v>8364.9881999999998</v>
      </c>
      <c r="AB195" s="5">
        <f>_xlfn.XLOOKUP(raceday_22_23[[#This Row],[Helper]],'Betcha Integrated'!A:A,'Betcha Integrated'!F:F, 0)</f>
        <v>934582</v>
      </c>
      <c r="AC195" s="5">
        <f>_xlfn.XLOOKUP(raceday_22_23[[#This Row],[Helper]],'Betcha Integrated'!A:A,'Betcha Integrated'!G:G, 0)</f>
        <v>93236</v>
      </c>
      <c r="AD195" s="5">
        <f>raceday_22_23[[#This Row],[Export Earned]]+raceday_22_23[[#This Row],[Betcha Inc. GBR]]</f>
        <v>101600.98819999999</v>
      </c>
      <c r="AE195" s="88">
        <f>ROUND(raceday_22_23[[#This Row],[Fav. Win %]]*raceday_22_23[[#This Row],[Races]], 0)</f>
        <v>2</v>
      </c>
    </row>
    <row r="196" spans="1:31" x14ac:dyDescent="0.3">
      <c r="A196" s="8">
        <v>45746</v>
      </c>
      <c r="B196" s="3" t="s">
        <v>82</v>
      </c>
      <c r="C196" s="3" t="s">
        <v>89</v>
      </c>
      <c r="D196" s="3" t="s">
        <v>81</v>
      </c>
      <c r="E196" s="3">
        <v>10</v>
      </c>
      <c r="F196" s="3">
        <v>102</v>
      </c>
      <c r="G196" s="3">
        <v>10.199999999999999</v>
      </c>
      <c r="H196" s="4">
        <v>0.7</v>
      </c>
      <c r="I196" s="5">
        <v>106534</v>
      </c>
      <c r="J196" s="5">
        <v>10653</v>
      </c>
      <c r="K196" s="4">
        <v>0.65500000000000003</v>
      </c>
      <c r="L196" s="4">
        <v>0.4</v>
      </c>
      <c r="M196" s="5">
        <v>665996</v>
      </c>
      <c r="N196" s="5">
        <v>69831</v>
      </c>
      <c r="O196" s="5">
        <v>139317</v>
      </c>
      <c r="P196" s="119">
        <f>_xlfn.XLOOKUP(raceday_22_23[[#This Row],[Helper]],'Betcha Integrated'!A:A,'Betcha Integrated'!H:H,0)</f>
        <v>190836.52</v>
      </c>
      <c r="Q196" s="4">
        <v>0.105</v>
      </c>
      <c r="R196" s="4">
        <v>0.501</v>
      </c>
      <c r="S196" s="18">
        <v>4.78</v>
      </c>
      <c r="T196" s="10">
        <v>0</v>
      </c>
      <c r="U196" s="10">
        <v>0</v>
      </c>
      <c r="V196" s="11">
        <v>0</v>
      </c>
      <c r="W19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6" s="3">
        <f>MONTH(raceday_22_23[[#This Row],[Raceday Date]])</f>
        <v>3</v>
      </c>
      <c r="Y19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6" s="3" t="str">
        <f>raceday_22_23[[#This Row],[Raceday Date]]&amp;raceday_22_23[[#This Row],[Club]]</f>
        <v>45746Rangiora Harness Racing Club Inc</v>
      </c>
      <c r="AA196" s="5">
        <f>0.03*raceday_22_23[[#This Row],[Export TO (AUD)]]</f>
        <v>5725.0955999999996</v>
      </c>
      <c r="AB196" s="5">
        <f>_xlfn.XLOOKUP(raceday_22_23[[#This Row],[Helper]],'Betcha Integrated'!A:A,'Betcha Integrated'!F:F, 0)</f>
        <v>708204</v>
      </c>
      <c r="AC196" s="5">
        <f>_xlfn.XLOOKUP(raceday_22_23[[#This Row],[Helper]],'Betcha Integrated'!A:A,'Betcha Integrated'!G:G, 0)</f>
        <v>75450</v>
      </c>
      <c r="AD196" s="5">
        <f>raceday_22_23[[#This Row],[Export Earned]]+raceday_22_23[[#This Row],[Betcha Inc. GBR]]</f>
        <v>81175.095600000001</v>
      </c>
      <c r="AE196" s="88">
        <f>ROUND(raceday_22_23[[#This Row],[Fav. Win %]]*raceday_22_23[[#This Row],[Races]], 0)</f>
        <v>7</v>
      </c>
    </row>
    <row r="197" spans="1:31" x14ac:dyDescent="0.3">
      <c r="A197" s="8">
        <v>45746</v>
      </c>
      <c r="B197" s="3" t="s">
        <v>82</v>
      </c>
      <c r="C197" s="3" t="s">
        <v>90</v>
      </c>
      <c r="D197" s="3" t="s">
        <v>76</v>
      </c>
      <c r="E197" s="3">
        <v>11</v>
      </c>
      <c r="F197" s="3">
        <v>123</v>
      </c>
      <c r="G197" s="3">
        <v>11.2</v>
      </c>
      <c r="H197" s="4">
        <v>0.36399999999999999</v>
      </c>
      <c r="I197" s="5">
        <v>245987</v>
      </c>
      <c r="J197" s="5">
        <v>22362</v>
      </c>
      <c r="K197" s="4">
        <v>0.45300000000000001</v>
      </c>
      <c r="L197" s="4">
        <v>0.36399999999999999</v>
      </c>
      <c r="M197" s="5">
        <v>853811</v>
      </c>
      <c r="N197" s="5">
        <v>111373</v>
      </c>
      <c r="O197" s="5">
        <v>278084.2</v>
      </c>
      <c r="P197" s="119">
        <f>_xlfn.XLOOKUP(raceday_22_23[[#This Row],[Helper]],'Betcha Integrated'!A:A,'Betcha Integrated'!H:H,0)</f>
        <v>220123.2</v>
      </c>
      <c r="Q197" s="4">
        <v>0.13</v>
      </c>
      <c r="R197" s="4">
        <v>0.40100000000000002</v>
      </c>
      <c r="S197" s="18">
        <v>3.07</v>
      </c>
      <c r="T197" s="10">
        <v>800739</v>
      </c>
      <c r="U197" s="10">
        <v>173589</v>
      </c>
      <c r="V197" s="11">
        <v>0.217</v>
      </c>
      <c r="W197" s="12">
        <f>IF(raceday_22_23[[#This Row],[Last Year Turnover]]=0, "No Corresponding PY Meeting", (raceday_22_23[[#This Row],[Betcha Inc. TO]]-raceday_22_23[[#This Row],[Last Year Turnover]])/raceday_22_23[[#This Row],[Last Year Turnover]])</f>
        <v>0.12948663671933053</v>
      </c>
      <c r="X197" s="3">
        <f>MONTH(raceday_22_23[[#This Row],[Raceday Date]])</f>
        <v>3</v>
      </c>
      <c r="Y19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7" s="3" t="str">
        <f>raceday_22_23[[#This Row],[Raceday Date]]&amp;raceday_22_23[[#This Row],[Club]]</f>
        <v>45746Wyndham Harness Racing Club Inc</v>
      </c>
      <c r="AA197" s="5">
        <f>0.03*raceday_22_23[[#This Row],[Export TO (AUD)]]</f>
        <v>6603.6959999999999</v>
      </c>
      <c r="AB197" s="5">
        <f>_xlfn.XLOOKUP(raceday_22_23[[#This Row],[Helper]],'Betcha Integrated'!A:A,'Betcha Integrated'!F:F, 0)</f>
        <v>904424</v>
      </c>
      <c r="AC197" s="5">
        <f>_xlfn.XLOOKUP(raceday_22_23[[#This Row],[Helper]],'Betcha Integrated'!A:A,'Betcha Integrated'!G:G, 0)</f>
        <v>126575</v>
      </c>
      <c r="AD197" s="5">
        <f>raceday_22_23[[#This Row],[Export Earned]]+raceday_22_23[[#This Row],[Betcha Inc. GBR]]</f>
        <v>133178.696</v>
      </c>
      <c r="AE197" s="88">
        <f>ROUND(raceday_22_23[[#This Row],[Fav. Win %]]*raceday_22_23[[#This Row],[Races]], 0)</f>
        <v>4</v>
      </c>
    </row>
    <row r="198" spans="1:31" x14ac:dyDescent="0.3">
      <c r="A198" s="8">
        <v>45746</v>
      </c>
      <c r="B198" s="3" t="s">
        <v>82</v>
      </c>
      <c r="C198" s="3" t="s">
        <v>101</v>
      </c>
      <c r="D198" s="3" t="s">
        <v>79</v>
      </c>
      <c r="E198" s="3">
        <v>7</v>
      </c>
      <c r="F198" s="3">
        <v>59</v>
      </c>
      <c r="G198" s="3">
        <v>8.4</v>
      </c>
      <c r="H198" s="4">
        <v>0.28599999999999998</v>
      </c>
      <c r="I198" s="5">
        <v>84190</v>
      </c>
      <c r="J198" s="5">
        <v>12027</v>
      </c>
      <c r="K198" s="4">
        <v>1.4239999999999999</v>
      </c>
      <c r="L198" s="4">
        <v>0.28599999999999998</v>
      </c>
      <c r="M198" s="5">
        <v>336001</v>
      </c>
      <c r="N198" s="5">
        <v>119916</v>
      </c>
      <c r="O198" s="5">
        <v>88507.55</v>
      </c>
      <c r="P198" s="119">
        <f>_xlfn.XLOOKUP(raceday_22_23[[#This Row],[Helper]],'Betcha Integrated'!A:A,'Betcha Integrated'!H:H,0)</f>
        <v>168901.16</v>
      </c>
      <c r="Q198" s="4">
        <v>0.35699999999999998</v>
      </c>
      <c r="R198" s="4">
        <v>1.355</v>
      </c>
      <c r="S198" s="18">
        <v>3.7959999999999998</v>
      </c>
      <c r="T198" s="10">
        <v>0</v>
      </c>
      <c r="U198" s="10">
        <v>0</v>
      </c>
      <c r="V198" s="11">
        <v>0</v>
      </c>
      <c r="W19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8" s="3">
        <f>MONTH(raceday_22_23[[#This Row],[Raceday Date]])</f>
        <v>3</v>
      </c>
      <c r="Y19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8" s="3" t="str">
        <f>raceday_22_23[[#This Row],[Raceday Date]]&amp;raceday_22_23[[#This Row],[Club]]</f>
        <v>45746Manawatu Harness Racing Club Inc</v>
      </c>
      <c r="AA198" s="5">
        <f>0.03*raceday_22_23[[#This Row],[Export TO (AUD)]]</f>
        <v>5067.0348000000004</v>
      </c>
      <c r="AB198" s="5">
        <f>_xlfn.XLOOKUP(raceday_22_23[[#This Row],[Helper]],'Betcha Integrated'!A:A,'Betcha Integrated'!F:F, 0)</f>
        <v>356727</v>
      </c>
      <c r="AC198" s="5">
        <f>_xlfn.XLOOKUP(raceday_22_23[[#This Row],[Helper]],'Betcha Integrated'!A:A,'Betcha Integrated'!G:G, 0)</f>
        <v>129631</v>
      </c>
      <c r="AD198" s="5">
        <f>raceday_22_23[[#This Row],[Export Earned]]+raceday_22_23[[#This Row],[Betcha Inc. GBR]]</f>
        <v>134698.03479999999</v>
      </c>
      <c r="AE198" s="88">
        <f>ROUND(raceday_22_23[[#This Row],[Fav. Win %]]*raceday_22_23[[#This Row],[Races]], 0)</f>
        <v>2</v>
      </c>
    </row>
    <row r="199" spans="1:31" x14ac:dyDescent="0.3">
      <c r="A199" s="8">
        <v>45748</v>
      </c>
      <c r="B199" s="3" t="s">
        <v>83</v>
      </c>
      <c r="C199" s="3" t="s">
        <v>101</v>
      </c>
      <c r="D199" s="3" t="s">
        <v>79</v>
      </c>
      <c r="E199" s="3">
        <v>7</v>
      </c>
      <c r="F199" s="3">
        <v>60</v>
      </c>
      <c r="G199" s="3">
        <v>8.6</v>
      </c>
      <c r="H199" s="4">
        <v>0.14299999999999999</v>
      </c>
      <c r="I199" s="5">
        <v>75223</v>
      </c>
      <c r="J199" s="5">
        <v>10746</v>
      </c>
      <c r="K199" s="4">
        <v>1.2150000000000001</v>
      </c>
      <c r="L199" s="4">
        <v>0</v>
      </c>
      <c r="M199" s="5">
        <v>335564</v>
      </c>
      <c r="N199" s="5">
        <v>91425</v>
      </c>
      <c r="O199" s="5">
        <v>87040.05</v>
      </c>
      <c r="P199" s="119">
        <f>_xlfn.XLOOKUP(raceday_22_23[[#This Row],[Helper]],'Betcha Integrated'!A:A,'Betcha Integrated'!H:H,0)</f>
        <v>128510.38</v>
      </c>
      <c r="Q199" s="4">
        <v>0.27200000000000002</v>
      </c>
      <c r="R199" s="4">
        <v>1.05</v>
      </c>
      <c r="S199" s="18">
        <v>3.855</v>
      </c>
      <c r="T199" s="10">
        <v>0</v>
      </c>
      <c r="U199" s="10">
        <v>0</v>
      </c>
      <c r="V199" s="11">
        <v>0</v>
      </c>
      <c r="W19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199" s="3">
        <f>MONTH(raceday_22_23[[#This Row],[Raceday Date]])</f>
        <v>4</v>
      </c>
      <c r="Y19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199" s="3" t="str">
        <f>raceday_22_23[[#This Row],[Raceday Date]]&amp;raceday_22_23[[#This Row],[Club]]</f>
        <v>45748Manawatu Harness Racing Club Inc</v>
      </c>
      <c r="AA199" s="5">
        <f>0.03*raceday_22_23[[#This Row],[Export TO (AUD)]]</f>
        <v>3855.3114</v>
      </c>
      <c r="AB199" s="5">
        <f>_xlfn.XLOOKUP(raceday_22_23[[#This Row],[Helper]],'Betcha Integrated'!A:A,'Betcha Integrated'!F:F, 0)</f>
        <v>369245</v>
      </c>
      <c r="AC199" s="5">
        <f>_xlfn.XLOOKUP(raceday_22_23[[#This Row],[Helper]],'Betcha Integrated'!A:A,'Betcha Integrated'!G:G, 0)</f>
        <v>99329</v>
      </c>
      <c r="AD199" s="5">
        <f>raceday_22_23[[#This Row],[Export Earned]]+raceday_22_23[[#This Row],[Betcha Inc. GBR]]</f>
        <v>103184.31140000001</v>
      </c>
      <c r="AE199" s="88">
        <f>ROUND(raceday_22_23[[#This Row],[Fav. Win %]]*raceday_22_23[[#This Row],[Races]], 0)</f>
        <v>1</v>
      </c>
    </row>
    <row r="200" spans="1:31" x14ac:dyDescent="0.3">
      <c r="A200" s="8">
        <v>45749</v>
      </c>
      <c r="B200" s="3" t="s">
        <v>96</v>
      </c>
      <c r="C200" s="3" t="s">
        <v>95</v>
      </c>
      <c r="D200" s="3" t="s">
        <v>81</v>
      </c>
      <c r="E200" s="3">
        <v>9</v>
      </c>
      <c r="F200" s="3">
        <v>95</v>
      </c>
      <c r="G200" s="3">
        <v>10.6</v>
      </c>
      <c r="H200" s="4">
        <v>0.222</v>
      </c>
      <c r="I200" s="5">
        <v>91619</v>
      </c>
      <c r="J200" s="5">
        <v>10180</v>
      </c>
      <c r="K200" s="4">
        <v>0.68200000000000005</v>
      </c>
      <c r="L200" s="4">
        <v>0.222</v>
      </c>
      <c r="M200" s="5">
        <v>525042</v>
      </c>
      <c r="N200" s="5">
        <v>62494</v>
      </c>
      <c r="O200" s="5">
        <v>110527</v>
      </c>
      <c r="P200" s="119">
        <f>_xlfn.XLOOKUP(raceday_22_23[[#This Row],[Helper]],'Betcha Integrated'!A:A,'Betcha Integrated'!H:H,0)</f>
        <v>257212.14</v>
      </c>
      <c r="Q200" s="4">
        <v>0.11899999999999999</v>
      </c>
      <c r="R200" s="4">
        <v>0.56499999999999995</v>
      </c>
      <c r="S200" s="18">
        <v>4.75</v>
      </c>
      <c r="T200" s="10">
        <v>0</v>
      </c>
      <c r="U200" s="10">
        <v>0</v>
      </c>
      <c r="V200" s="11">
        <v>0</v>
      </c>
      <c r="W20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00" s="3">
        <f>MONTH(raceday_22_23[[#This Row],[Raceday Date]])</f>
        <v>4</v>
      </c>
      <c r="Y20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0" s="3" t="str">
        <f>raceday_22_23[[#This Row],[Raceday Date]]&amp;raceday_22_23[[#This Row],[Club]]</f>
        <v>45749Timaru Harness Racing Club Inc</v>
      </c>
      <c r="AA200" s="5">
        <f>0.03*raceday_22_23[[#This Row],[Export TO (AUD)]]</f>
        <v>7716.3642</v>
      </c>
      <c r="AB200" s="5">
        <f>_xlfn.XLOOKUP(raceday_22_23[[#This Row],[Helper]],'Betcha Integrated'!A:A,'Betcha Integrated'!F:F, 0)</f>
        <v>548777</v>
      </c>
      <c r="AC200" s="5">
        <f>_xlfn.XLOOKUP(raceday_22_23[[#This Row],[Helper]],'Betcha Integrated'!A:A,'Betcha Integrated'!G:G, 0)</f>
        <v>65642</v>
      </c>
      <c r="AD200" s="5">
        <f>raceday_22_23[[#This Row],[Export Earned]]+raceday_22_23[[#This Row],[Betcha Inc. GBR]]</f>
        <v>73358.364199999996</v>
      </c>
      <c r="AE200" s="88">
        <f>ROUND(raceday_22_23[[#This Row],[Fav. Win %]]*raceday_22_23[[#This Row],[Races]], 0)</f>
        <v>2</v>
      </c>
    </row>
    <row r="201" spans="1:31" x14ac:dyDescent="0.3">
      <c r="A201" s="8">
        <v>45750</v>
      </c>
      <c r="B201" s="3" t="s">
        <v>74</v>
      </c>
      <c r="C201" s="3" t="s">
        <v>85</v>
      </c>
      <c r="D201" s="3" t="s">
        <v>76</v>
      </c>
      <c r="E201" s="3">
        <v>9</v>
      </c>
      <c r="F201" s="3">
        <v>83</v>
      </c>
      <c r="G201" s="3">
        <v>9.1999999999999993</v>
      </c>
      <c r="H201" s="4">
        <v>0.66700000000000004</v>
      </c>
      <c r="I201" s="5">
        <v>100820</v>
      </c>
      <c r="J201" s="5">
        <v>11202</v>
      </c>
      <c r="K201" s="4">
        <v>0.83899999999999997</v>
      </c>
      <c r="L201" s="4">
        <v>0.111</v>
      </c>
      <c r="M201" s="5">
        <v>506541</v>
      </c>
      <c r="N201" s="5">
        <v>84538</v>
      </c>
      <c r="O201" s="5">
        <v>125647.86</v>
      </c>
      <c r="P201" s="119">
        <f>_xlfn.XLOOKUP(raceday_22_23[[#This Row],[Helper]],'Betcha Integrated'!A:A,'Betcha Integrated'!H:H,0)</f>
        <v>323746.62</v>
      </c>
      <c r="Q201" s="4">
        <v>0.16700000000000001</v>
      </c>
      <c r="R201" s="4">
        <v>0.67300000000000004</v>
      </c>
      <c r="S201" s="18">
        <v>4.0309999999999997</v>
      </c>
      <c r="T201" s="10">
        <v>451314</v>
      </c>
      <c r="U201" s="10">
        <v>31731</v>
      </c>
      <c r="V201" s="11">
        <v>7.0000000000000007E-2</v>
      </c>
      <c r="W201" s="12">
        <f>IF(raceday_22_23[[#This Row],[Last Year Turnover]]=0, "No Corresponding PY Meeting", (raceday_22_23[[#This Row],[Betcha Inc. TO]]-raceday_22_23[[#This Row],[Last Year Turnover]])/raceday_22_23[[#This Row],[Last Year Turnover]])</f>
        <v>0.1849156019977222</v>
      </c>
      <c r="X201" s="3">
        <f>MONTH(raceday_22_23[[#This Row],[Raceday Date]])</f>
        <v>4</v>
      </c>
      <c r="Y20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1" s="3" t="str">
        <f>raceday_22_23[[#This Row],[Raceday Date]]&amp;raceday_22_23[[#This Row],[Club]]</f>
        <v>45750Invercargill Harness Racing Club Inc</v>
      </c>
      <c r="AA201" s="5">
        <f>0.03*raceday_22_23[[#This Row],[Export TO (AUD)]]</f>
        <v>9712.3985999999986</v>
      </c>
      <c r="AB201" s="5">
        <f>_xlfn.XLOOKUP(raceday_22_23[[#This Row],[Helper]],'Betcha Integrated'!A:A,'Betcha Integrated'!F:F, 0)</f>
        <v>534769</v>
      </c>
      <c r="AC201" s="5">
        <f>_xlfn.XLOOKUP(raceday_22_23[[#This Row],[Helper]],'Betcha Integrated'!A:A,'Betcha Integrated'!G:G, 0)</f>
        <v>86854</v>
      </c>
      <c r="AD201" s="5">
        <f>raceday_22_23[[#This Row],[Export Earned]]+raceday_22_23[[#This Row],[Betcha Inc. GBR]]</f>
        <v>96566.3986</v>
      </c>
      <c r="AE201" s="88">
        <f>ROUND(raceday_22_23[[#This Row],[Fav. Win %]]*raceday_22_23[[#This Row],[Races]], 0)</f>
        <v>6</v>
      </c>
    </row>
    <row r="202" spans="1:31" x14ac:dyDescent="0.3">
      <c r="A202" s="8">
        <v>45751</v>
      </c>
      <c r="B202" s="3" t="s">
        <v>77</v>
      </c>
      <c r="C202" s="3" t="s">
        <v>84</v>
      </c>
      <c r="D202" s="3" t="s">
        <v>79</v>
      </c>
      <c r="E202" s="3">
        <v>10</v>
      </c>
      <c r="F202" s="3">
        <v>93</v>
      </c>
      <c r="G202" s="3">
        <v>9.3000000000000007</v>
      </c>
      <c r="H202" s="4">
        <v>0.2</v>
      </c>
      <c r="I202" s="5">
        <v>949012</v>
      </c>
      <c r="J202" s="5">
        <v>94901</v>
      </c>
      <c r="K202" s="4">
        <v>0.24399999999999999</v>
      </c>
      <c r="L202" s="4">
        <v>0.2</v>
      </c>
      <c r="M202" s="5">
        <v>1609723</v>
      </c>
      <c r="N202" s="5">
        <v>451954</v>
      </c>
      <c r="O202" s="5">
        <v>954303.74</v>
      </c>
      <c r="P202" s="119">
        <f>_xlfn.XLOOKUP(raceday_22_23[[#This Row],[Helper]],'Betcha Integrated'!A:A,'Betcha Integrated'!H:H,0)</f>
        <v>558491.51</v>
      </c>
      <c r="Q202" s="4">
        <v>0.28100000000000003</v>
      </c>
      <c r="R202" s="4">
        <v>0.47399999999999998</v>
      </c>
      <c r="S202" s="18">
        <v>1.6870000000000001</v>
      </c>
      <c r="T202" s="10">
        <v>1814111</v>
      </c>
      <c r="U202" s="10">
        <v>468794</v>
      </c>
      <c r="V202" s="11">
        <v>0.25800000000000001</v>
      </c>
      <c r="W202" s="12">
        <f>IF(raceday_22_23[[#This Row],[Last Year Turnover]]=0, "No Corresponding PY Meeting", (raceday_22_23[[#This Row],[Betcha Inc. TO]]-raceday_22_23[[#This Row],[Last Year Turnover]])/raceday_22_23[[#This Row],[Last Year Turnover]])</f>
        <v>-5.4594233759676231E-3</v>
      </c>
      <c r="X202" s="3">
        <f>MONTH(raceday_22_23[[#This Row],[Raceday Date]])</f>
        <v>4</v>
      </c>
      <c r="Y20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2" s="3" t="str">
        <f>raceday_22_23[[#This Row],[Raceday Date]]&amp;raceday_22_23[[#This Row],[Club]]</f>
        <v>45751Waikato Bay of Plenty Harness Inc</v>
      </c>
      <c r="AA202" s="5">
        <f>0.03*raceday_22_23[[#This Row],[Export TO (AUD)]]</f>
        <v>16754.745299999999</v>
      </c>
      <c r="AB202" s="5">
        <f>_xlfn.XLOOKUP(raceday_22_23[[#This Row],[Helper]],'Betcha Integrated'!A:A,'Betcha Integrated'!F:F, 0)</f>
        <v>1804207</v>
      </c>
      <c r="AC202" s="5">
        <f>_xlfn.XLOOKUP(raceday_22_23[[#This Row],[Helper]],'Betcha Integrated'!A:A,'Betcha Integrated'!G:G, 0)</f>
        <v>581276</v>
      </c>
      <c r="AD202" s="5">
        <f>raceday_22_23[[#This Row],[Export Earned]]+raceday_22_23[[#This Row],[Betcha Inc. GBR]]</f>
        <v>598030.74529999995</v>
      </c>
      <c r="AE202" s="88">
        <f>ROUND(raceday_22_23[[#This Row],[Fav. Win %]]*raceday_22_23[[#This Row],[Races]], 0)</f>
        <v>2</v>
      </c>
    </row>
    <row r="203" spans="1:31" x14ac:dyDescent="0.3">
      <c r="A203" s="8">
        <v>45751</v>
      </c>
      <c r="B203" s="3" t="s">
        <v>77</v>
      </c>
      <c r="C203" s="3" t="s">
        <v>80</v>
      </c>
      <c r="D203" s="3" t="s">
        <v>81</v>
      </c>
      <c r="E203" s="3">
        <v>10</v>
      </c>
      <c r="F203" s="3">
        <v>87</v>
      </c>
      <c r="G203" s="3">
        <v>8.6999999999999993</v>
      </c>
      <c r="H203" s="4">
        <v>0.6</v>
      </c>
      <c r="I203" s="5">
        <v>167235</v>
      </c>
      <c r="J203" s="5">
        <v>16724</v>
      </c>
      <c r="K203" s="4">
        <v>0.95899999999999996</v>
      </c>
      <c r="L203" s="4">
        <v>0.3</v>
      </c>
      <c r="M203" s="5">
        <v>809358</v>
      </c>
      <c r="N203" s="5">
        <v>160414</v>
      </c>
      <c r="O203" s="5">
        <v>205036.92</v>
      </c>
      <c r="P203" s="119">
        <f>_xlfn.XLOOKUP(raceday_22_23[[#This Row],[Helper]],'Betcha Integrated'!A:A,'Betcha Integrated'!H:H,0)</f>
        <v>320206.31</v>
      </c>
      <c r="Q203" s="4">
        <v>0.19800000000000001</v>
      </c>
      <c r="R203" s="4">
        <v>0.78200000000000003</v>
      </c>
      <c r="S203" s="18">
        <v>3.9470000000000001</v>
      </c>
      <c r="T203" s="10">
        <v>1092804</v>
      </c>
      <c r="U203" s="10">
        <v>254183</v>
      </c>
      <c r="V203" s="11">
        <v>0.23300000000000001</v>
      </c>
      <c r="W203" s="12">
        <f>IF(raceday_22_23[[#This Row],[Last Year Turnover]]=0, "No Corresponding PY Meeting", (raceday_22_23[[#This Row],[Betcha Inc. TO]]-raceday_22_23[[#This Row],[Last Year Turnover]])/raceday_22_23[[#This Row],[Last Year Turnover]])</f>
        <v>-0.20867328450481515</v>
      </c>
      <c r="X203" s="3">
        <f>MONTH(raceday_22_23[[#This Row],[Raceday Date]])</f>
        <v>4</v>
      </c>
      <c r="Y20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3" s="3" t="str">
        <f>raceday_22_23[[#This Row],[Raceday Date]]&amp;raceday_22_23[[#This Row],[Club]]</f>
        <v>45751NZ Metropolitan Trotting Club Inc</v>
      </c>
      <c r="AA203" s="5">
        <f>0.03*raceday_22_23[[#This Row],[Export TO (AUD)]]</f>
        <v>9606.1893</v>
      </c>
      <c r="AB203" s="5">
        <f>_xlfn.XLOOKUP(raceday_22_23[[#This Row],[Helper]],'Betcha Integrated'!A:A,'Betcha Integrated'!F:F, 0)</f>
        <v>864765</v>
      </c>
      <c r="AC203" s="5">
        <f>_xlfn.XLOOKUP(raceday_22_23[[#This Row],[Helper]],'Betcha Integrated'!A:A,'Betcha Integrated'!G:G, 0)</f>
        <v>168808</v>
      </c>
      <c r="AD203" s="5">
        <f>raceday_22_23[[#This Row],[Export Earned]]+raceday_22_23[[#This Row],[Betcha Inc. GBR]]</f>
        <v>178414.1893</v>
      </c>
      <c r="AE203" s="88">
        <f>ROUND(raceday_22_23[[#This Row],[Fav. Win %]]*raceday_22_23[[#This Row],[Races]], 0)</f>
        <v>6</v>
      </c>
    </row>
    <row r="204" spans="1:31" x14ac:dyDescent="0.3">
      <c r="A204" s="8">
        <v>45753</v>
      </c>
      <c r="B204" s="3" t="s">
        <v>82</v>
      </c>
      <c r="C204" s="3" t="s">
        <v>120</v>
      </c>
      <c r="D204" s="3" t="s">
        <v>81</v>
      </c>
      <c r="E204" s="3">
        <v>11</v>
      </c>
      <c r="F204" s="3">
        <v>118</v>
      </c>
      <c r="G204" s="3">
        <v>10.7</v>
      </c>
      <c r="H204" s="4">
        <v>0.182</v>
      </c>
      <c r="I204" s="5">
        <v>180013</v>
      </c>
      <c r="J204" s="5">
        <v>16365</v>
      </c>
      <c r="K204" s="4">
        <v>1.39</v>
      </c>
      <c r="L204" s="4">
        <v>0.182</v>
      </c>
      <c r="M204" s="5">
        <v>869996</v>
      </c>
      <c r="N204" s="5">
        <v>250300</v>
      </c>
      <c r="O204" s="5">
        <v>197338.74</v>
      </c>
      <c r="P204" s="119">
        <f>_xlfn.XLOOKUP(raceday_22_23[[#This Row],[Helper]],'Betcha Integrated'!A:A,'Betcha Integrated'!H:H,0)</f>
        <v>206628.71</v>
      </c>
      <c r="Q204" s="4">
        <v>0.28799999999999998</v>
      </c>
      <c r="R204" s="4">
        <v>1.268</v>
      </c>
      <c r="S204" s="18">
        <v>4.4089999999999998</v>
      </c>
      <c r="T204" s="10">
        <v>1122441</v>
      </c>
      <c r="U204" s="10">
        <v>196714</v>
      </c>
      <c r="V204" s="11">
        <v>0.17499999999999999</v>
      </c>
      <c r="W204" s="12">
        <f>IF(raceday_22_23[[#This Row],[Last Year Turnover]]=0, "No Corresponding PY Meeting", (raceday_22_23[[#This Row],[Betcha Inc. TO]]-raceday_22_23[[#This Row],[Last Year Turnover]])/raceday_22_23[[#This Row],[Last Year Turnover]])</f>
        <v>-0.18573982953224266</v>
      </c>
      <c r="X204" s="3">
        <f>MONTH(raceday_22_23[[#This Row],[Raceday Date]])</f>
        <v>4</v>
      </c>
      <c r="Y20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4" s="3" t="str">
        <f>raceday_22_23[[#This Row],[Raceday Date]]&amp;raceday_22_23[[#This Row],[Club]]</f>
        <v>45753Cheviot Harness Racing Club Inc</v>
      </c>
      <c r="AA204" s="5">
        <f>0.03*raceday_22_23[[#This Row],[Export TO (AUD)]]</f>
        <v>6198.8612999999996</v>
      </c>
      <c r="AB204" s="5">
        <f>_xlfn.XLOOKUP(raceday_22_23[[#This Row],[Helper]],'Betcha Integrated'!A:A,'Betcha Integrated'!F:F, 0)</f>
        <v>913959</v>
      </c>
      <c r="AC204" s="5">
        <f>_xlfn.XLOOKUP(raceday_22_23[[#This Row],[Helper]],'Betcha Integrated'!A:A,'Betcha Integrated'!G:G, 0)</f>
        <v>254062</v>
      </c>
      <c r="AD204" s="5">
        <f>raceday_22_23[[#This Row],[Export Earned]]+raceday_22_23[[#This Row],[Betcha Inc. GBR]]</f>
        <v>260260.86129999999</v>
      </c>
      <c r="AE204" s="88">
        <f>ROUND(raceday_22_23[[#This Row],[Fav. Win %]]*raceday_22_23[[#This Row],[Races]], 0)</f>
        <v>2</v>
      </c>
    </row>
    <row r="205" spans="1:31" x14ac:dyDescent="0.3">
      <c r="A205" s="8">
        <v>45753</v>
      </c>
      <c r="B205" s="3" t="s">
        <v>82</v>
      </c>
      <c r="C205" s="3" t="s">
        <v>101</v>
      </c>
      <c r="D205" s="3" t="s">
        <v>79</v>
      </c>
      <c r="E205" s="3">
        <v>6</v>
      </c>
      <c r="F205" s="3">
        <v>50</v>
      </c>
      <c r="G205" s="3">
        <v>8.3000000000000007</v>
      </c>
      <c r="H205" s="4">
        <v>0.83299999999999996</v>
      </c>
      <c r="I205" s="5">
        <v>63625</v>
      </c>
      <c r="J205" s="5">
        <v>10604</v>
      </c>
      <c r="K205" s="4">
        <v>0.77800000000000002</v>
      </c>
      <c r="L205" s="4">
        <v>0.16700000000000001</v>
      </c>
      <c r="M205" s="5">
        <v>244073</v>
      </c>
      <c r="N205" s="5">
        <v>49489</v>
      </c>
      <c r="O205" s="5">
        <v>79442.55</v>
      </c>
      <c r="P205" s="119">
        <f>_xlfn.XLOOKUP(raceday_22_23[[#This Row],[Helper]],'Betcha Integrated'!A:A,'Betcha Integrated'!H:H,0)</f>
        <v>66213.59</v>
      </c>
      <c r="Q205" s="4">
        <v>0.20300000000000001</v>
      </c>
      <c r="R205" s="4">
        <v>0.623</v>
      </c>
      <c r="S205" s="18">
        <v>3.0720000000000001</v>
      </c>
      <c r="T205" s="10">
        <v>0</v>
      </c>
      <c r="U205" s="10">
        <v>0</v>
      </c>
      <c r="V205" s="11">
        <v>0</v>
      </c>
      <c r="W20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05" s="3">
        <f>MONTH(raceday_22_23[[#This Row],[Raceday Date]])</f>
        <v>4</v>
      </c>
      <c r="Y20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5" s="3" t="str">
        <f>raceday_22_23[[#This Row],[Raceday Date]]&amp;raceday_22_23[[#This Row],[Club]]</f>
        <v>45753Manawatu Harness Racing Club Inc</v>
      </c>
      <c r="AA205" s="5">
        <f>0.03*raceday_22_23[[#This Row],[Export TO (AUD)]]</f>
        <v>1986.4076999999997</v>
      </c>
      <c r="AB205" s="5">
        <f>_xlfn.XLOOKUP(raceday_22_23[[#This Row],[Helper]],'Betcha Integrated'!A:A,'Betcha Integrated'!F:F, 0)</f>
        <v>263753</v>
      </c>
      <c r="AC205" s="5">
        <f>_xlfn.XLOOKUP(raceday_22_23[[#This Row],[Helper]],'Betcha Integrated'!A:A,'Betcha Integrated'!G:G, 0)</f>
        <v>53052</v>
      </c>
      <c r="AD205" s="5">
        <f>raceday_22_23[[#This Row],[Export Earned]]+raceday_22_23[[#This Row],[Betcha Inc. GBR]]</f>
        <v>55038.407699999996</v>
      </c>
      <c r="AE205" s="88">
        <f>ROUND(raceday_22_23[[#This Row],[Fav. Win %]]*raceday_22_23[[#This Row],[Races]], 0)</f>
        <v>5</v>
      </c>
    </row>
    <row r="206" spans="1:31" x14ac:dyDescent="0.3">
      <c r="A206" s="8">
        <v>45755</v>
      </c>
      <c r="B206" s="3" t="s">
        <v>83</v>
      </c>
      <c r="C206" s="3" t="s">
        <v>101</v>
      </c>
      <c r="D206" s="3" t="s">
        <v>79</v>
      </c>
      <c r="E206" s="3">
        <v>6</v>
      </c>
      <c r="F206" s="3">
        <v>47</v>
      </c>
      <c r="G206" s="3">
        <v>7.8</v>
      </c>
      <c r="H206" s="4">
        <v>0.16700000000000001</v>
      </c>
      <c r="I206" s="5">
        <v>63021</v>
      </c>
      <c r="J206" s="5">
        <v>10504</v>
      </c>
      <c r="K206" s="4">
        <v>0.86599999999999999</v>
      </c>
      <c r="L206" s="4">
        <v>0</v>
      </c>
      <c r="M206" s="5">
        <v>251504</v>
      </c>
      <c r="N206" s="5">
        <v>54578</v>
      </c>
      <c r="O206" s="5">
        <v>78838.8</v>
      </c>
      <c r="P206" s="119">
        <f>_xlfn.XLOOKUP(raceday_22_23[[#This Row],[Helper]],'Betcha Integrated'!A:A,'Betcha Integrated'!H:H,0)</f>
        <v>123552.63</v>
      </c>
      <c r="Q206" s="4">
        <v>0.217</v>
      </c>
      <c r="R206" s="4">
        <v>0.69199999999999995</v>
      </c>
      <c r="S206" s="18">
        <v>3.19</v>
      </c>
      <c r="T206" s="10">
        <v>0</v>
      </c>
      <c r="U206" s="10">
        <v>0</v>
      </c>
      <c r="V206" s="11">
        <v>0</v>
      </c>
      <c r="W20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06" s="3">
        <f>MONTH(raceday_22_23[[#This Row],[Raceday Date]])</f>
        <v>4</v>
      </c>
      <c r="Y20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6" s="3" t="str">
        <f>raceday_22_23[[#This Row],[Raceday Date]]&amp;raceday_22_23[[#This Row],[Club]]</f>
        <v>45755Manawatu Harness Racing Club Inc</v>
      </c>
      <c r="AA206" s="5">
        <f>0.03*raceday_22_23[[#This Row],[Export TO (AUD)]]</f>
        <v>3706.5789</v>
      </c>
      <c r="AB206" s="5">
        <f>_xlfn.XLOOKUP(raceday_22_23[[#This Row],[Helper]],'Betcha Integrated'!A:A,'Betcha Integrated'!F:F, 0)</f>
        <v>280489.60499999998</v>
      </c>
      <c r="AC206" s="5">
        <f>_xlfn.XLOOKUP(raceday_22_23[[#This Row],[Helper]],'Betcha Integrated'!A:A,'Betcha Integrated'!G:G, 0)</f>
        <v>63962.079599999997</v>
      </c>
      <c r="AD206" s="5">
        <f>raceday_22_23[[#This Row],[Export Earned]]+raceday_22_23[[#This Row],[Betcha Inc. GBR]]</f>
        <v>67668.65849999999</v>
      </c>
      <c r="AE206" s="88">
        <f>ROUND(raceday_22_23[[#This Row],[Fav. Win %]]*raceday_22_23[[#This Row],[Races]], 0)</f>
        <v>1</v>
      </c>
    </row>
    <row r="207" spans="1:31" x14ac:dyDescent="0.3">
      <c r="A207" s="8">
        <v>45756</v>
      </c>
      <c r="B207" s="3" t="s">
        <v>96</v>
      </c>
      <c r="C207" s="3" t="s">
        <v>80</v>
      </c>
      <c r="D207" s="3" t="s">
        <v>81</v>
      </c>
      <c r="E207" s="3">
        <v>8</v>
      </c>
      <c r="F207" s="3">
        <v>69</v>
      </c>
      <c r="G207" s="3">
        <v>8.6</v>
      </c>
      <c r="H207" s="4">
        <v>0.25</v>
      </c>
      <c r="I207" s="5">
        <v>60220</v>
      </c>
      <c r="J207" s="5">
        <v>7528</v>
      </c>
      <c r="K207" s="4">
        <v>0.93700000000000006</v>
      </c>
      <c r="L207" s="4">
        <v>0.125</v>
      </c>
      <c r="M207" s="5">
        <v>394154</v>
      </c>
      <c r="N207" s="5">
        <v>56448</v>
      </c>
      <c r="O207" s="5">
        <v>97916.92</v>
      </c>
      <c r="P207" s="119">
        <f>_xlfn.XLOOKUP(raceday_22_23[[#This Row],[Helper]],'Betcha Integrated'!A:A,'Betcha Integrated'!H:H,0)</f>
        <v>229395.64</v>
      </c>
      <c r="Q207" s="4">
        <v>0.14299999999999999</v>
      </c>
      <c r="R207" s="4">
        <v>0.57599999999999996</v>
      </c>
      <c r="S207" s="18">
        <v>4.0250000000000004</v>
      </c>
      <c r="T207" s="10">
        <v>0</v>
      </c>
      <c r="U207" s="10">
        <v>0</v>
      </c>
      <c r="V207" s="11">
        <v>0</v>
      </c>
      <c r="W207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07" s="3">
        <f>MONTH(raceday_22_23[[#This Row],[Raceday Date]])</f>
        <v>4</v>
      </c>
      <c r="Y20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7" s="3" t="str">
        <f>raceday_22_23[[#This Row],[Raceday Date]]&amp;raceday_22_23[[#This Row],[Club]]</f>
        <v>45756NZ Metropolitan Trotting Club Inc</v>
      </c>
      <c r="AA207" s="5">
        <f>0.03*raceday_22_23[[#This Row],[Export TO (AUD)]]</f>
        <v>6881.8692000000001</v>
      </c>
      <c r="AB207" s="5">
        <f>_xlfn.XLOOKUP(raceday_22_23[[#This Row],[Helper]],'Betcha Integrated'!A:A,'Betcha Integrated'!F:F, 0)</f>
        <v>416646.40989999997</v>
      </c>
      <c r="AC207" s="5">
        <f>_xlfn.XLOOKUP(raceday_22_23[[#This Row],[Helper]],'Betcha Integrated'!A:A,'Betcha Integrated'!G:G, 0)</f>
        <v>60793.964200000002</v>
      </c>
      <c r="AD207" s="5">
        <f>raceday_22_23[[#This Row],[Export Earned]]+raceday_22_23[[#This Row],[Betcha Inc. GBR]]</f>
        <v>67675.833400000003</v>
      </c>
      <c r="AE207" s="88">
        <f>ROUND(raceday_22_23[[#This Row],[Fav. Win %]]*raceday_22_23[[#This Row],[Races]], 0)</f>
        <v>2</v>
      </c>
    </row>
    <row r="208" spans="1:31" x14ac:dyDescent="0.3">
      <c r="A208" s="8">
        <v>45757</v>
      </c>
      <c r="B208" s="3" t="s">
        <v>74</v>
      </c>
      <c r="C208" s="3" t="s">
        <v>118</v>
      </c>
      <c r="D208" s="3" t="s">
        <v>76</v>
      </c>
      <c r="E208" s="3">
        <v>10</v>
      </c>
      <c r="F208" s="3">
        <v>107</v>
      </c>
      <c r="G208" s="3">
        <v>10.7</v>
      </c>
      <c r="H208" s="4">
        <v>0.3</v>
      </c>
      <c r="I208" s="5">
        <v>117166</v>
      </c>
      <c r="J208" s="5">
        <v>11717</v>
      </c>
      <c r="K208" s="4">
        <v>1.0880000000000001</v>
      </c>
      <c r="L208" s="4">
        <v>0</v>
      </c>
      <c r="M208" s="5">
        <v>495721</v>
      </c>
      <c r="N208" s="5">
        <v>127485</v>
      </c>
      <c r="O208" s="5">
        <v>130886.24</v>
      </c>
      <c r="P208" s="119">
        <f>_xlfn.XLOOKUP(raceday_22_23[[#This Row],[Helper]],'Betcha Integrated'!A:A,'Betcha Integrated'!H:H,0)</f>
        <v>340340.05</v>
      </c>
      <c r="Q208" s="4">
        <v>0.25700000000000001</v>
      </c>
      <c r="R208" s="4">
        <v>0.97399999999999998</v>
      </c>
      <c r="S208" s="18">
        <v>3.7869999999999999</v>
      </c>
      <c r="T208" s="10">
        <v>454143</v>
      </c>
      <c r="U208" s="10">
        <v>61626</v>
      </c>
      <c r="V208" s="11">
        <v>0.13600000000000001</v>
      </c>
      <c r="W208" s="12">
        <f>IF(raceday_22_23[[#This Row],[Last Year Turnover]]=0, "No Corresponding PY Meeting", (raceday_22_23[[#This Row],[Betcha Inc. TO]]-raceday_22_23[[#This Row],[Last Year Turnover]])/raceday_22_23[[#This Row],[Last Year Turnover]])</f>
        <v>0.14413333531508588</v>
      </c>
      <c r="X208" s="3">
        <f>MONTH(raceday_22_23[[#This Row],[Raceday Date]])</f>
        <v>4</v>
      </c>
      <c r="Y20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8" s="3" t="str">
        <f>raceday_22_23[[#This Row],[Raceday Date]]&amp;raceday_22_23[[#This Row],[Club]]</f>
        <v>45757Wairio Trotting Club Inc</v>
      </c>
      <c r="AA208" s="5">
        <f>0.03*raceday_22_23[[#This Row],[Export TO (AUD)]]</f>
        <v>10210.201499999999</v>
      </c>
      <c r="AB208" s="5">
        <f>_xlfn.XLOOKUP(raceday_22_23[[#This Row],[Helper]],'Betcha Integrated'!A:A,'Betcha Integrated'!F:F, 0)</f>
        <v>519600.14529999904</v>
      </c>
      <c r="AC208" s="5">
        <f>_xlfn.XLOOKUP(raceday_22_23[[#This Row],[Helper]],'Betcha Integrated'!A:A,'Betcha Integrated'!G:G, 0)</f>
        <v>139351.4665999999</v>
      </c>
      <c r="AD208" s="5">
        <f>raceday_22_23[[#This Row],[Export Earned]]+raceday_22_23[[#This Row],[Betcha Inc. GBR]]</f>
        <v>149561.66809999989</v>
      </c>
      <c r="AE208" s="88">
        <f>ROUND(raceday_22_23[[#This Row],[Fav. Win %]]*raceday_22_23[[#This Row],[Races]], 0)</f>
        <v>3</v>
      </c>
    </row>
    <row r="209" spans="1:31" x14ac:dyDescent="0.3">
      <c r="A209" s="8">
        <v>45758</v>
      </c>
      <c r="B209" s="3" t="s">
        <v>77</v>
      </c>
      <c r="C209" s="3" t="s">
        <v>80</v>
      </c>
      <c r="D209" s="3" t="s">
        <v>81</v>
      </c>
      <c r="E209" s="3">
        <v>10</v>
      </c>
      <c r="F209" s="3">
        <v>120</v>
      </c>
      <c r="G209" s="3">
        <v>12</v>
      </c>
      <c r="H209" s="4">
        <v>0.3</v>
      </c>
      <c r="I209" s="5">
        <v>246509</v>
      </c>
      <c r="J209" s="5">
        <v>24651</v>
      </c>
      <c r="K209" s="4">
        <v>0.56200000000000006</v>
      </c>
      <c r="L209" s="4">
        <v>0.2</v>
      </c>
      <c r="M209" s="5">
        <v>867788</v>
      </c>
      <c r="N209" s="5">
        <v>138457</v>
      </c>
      <c r="O209" s="5">
        <v>284309.42</v>
      </c>
      <c r="P209" s="119">
        <f>_xlfn.XLOOKUP(raceday_22_23[[#This Row],[Helper]],'Betcha Integrated'!A:A,'Betcha Integrated'!H:H,0)</f>
        <v>296390.59000000003</v>
      </c>
      <c r="Q209" s="4">
        <v>0.16</v>
      </c>
      <c r="R209" s="4">
        <v>0.48699999999999999</v>
      </c>
      <c r="S209" s="18">
        <v>3.052</v>
      </c>
      <c r="T209" s="10">
        <v>792470</v>
      </c>
      <c r="U209" s="10">
        <v>198523</v>
      </c>
      <c r="V209" s="11">
        <v>0.251</v>
      </c>
      <c r="W209" s="12">
        <f>IF(raceday_22_23[[#This Row],[Last Year Turnover]]=0, "No Corresponding PY Meeting", (raceday_22_23[[#This Row],[Betcha Inc. TO]]-raceday_22_23[[#This Row],[Last Year Turnover]])/raceday_22_23[[#This Row],[Last Year Turnover]])</f>
        <v>0.17267216411977615</v>
      </c>
      <c r="X209" s="3">
        <f>MONTH(raceday_22_23[[#This Row],[Raceday Date]])</f>
        <v>4</v>
      </c>
      <c r="Y20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09" s="3" t="str">
        <f>raceday_22_23[[#This Row],[Raceday Date]]&amp;raceday_22_23[[#This Row],[Club]]</f>
        <v>45758NZ Metropolitan Trotting Club Inc</v>
      </c>
      <c r="AA209" s="5">
        <f>0.03*raceday_22_23[[#This Row],[Export TO (AUD)]]</f>
        <v>8891.7177000000011</v>
      </c>
      <c r="AB209" s="5">
        <f>_xlfn.XLOOKUP(raceday_22_23[[#This Row],[Helper]],'Betcha Integrated'!A:A,'Betcha Integrated'!F:F, 0)</f>
        <v>929307.50989999902</v>
      </c>
      <c r="AC209" s="5">
        <f>_xlfn.XLOOKUP(raceday_22_23[[#This Row],[Helper]],'Betcha Integrated'!A:A,'Betcha Integrated'!G:G, 0)</f>
        <v>153268.92169999989</v>
      </c>
      <c r="AD209" s="5">
        <f>raceday_22_23[[#This Row],[Export Earned]]+raceday_22_23[[#This Row],[Betcha Inc. GBR]]</f>
        <v>162160.6393999999</v>
      </c>
      <c r="AE209" s="88">
        <f>ROUND(raceday_22_23[[#This Row],[Fav. Win %]]*raceday_22_23[[#This Row],[Races]], 0)</f>
        <v>3</v>
      </c>
    </row>
    <row r="210" spans="1:31" x14ac:dyDescent="0.3">
      <c r="A210" s="8">
        <v>45758</v>
      </c>
      <c r="B210" s="3" t="s">
        <v>77</v>
      </c>
      <c r="C210" s="3" t="s">
        <v>78</v>
      </c>
      <c r="D210" s="3" t="s">
        <v>79</v>
      </c>
      <c r="E210" s="3">
        <v>11</v>
      </c>
      <c r="F210" s="3">
        <v>89</v>
      </c>
      <c r="G210" s="3">
        <v>8.1</v>
      </c>
      <c r="H210" s="4">
        <v>0.45500000000000002</v>
      </c>
      <c r="I210" s="5">
        <v>340618</v>
      </c>
      <c r="J210" s="5">
        <v>30965</v>
      </c>
      <c r="K210" s="4">
        <v>0.55000000000000004</v>
      </c>
      <c r="L210" s="4">
        <v>9.0999999999999998E-2</v>
      </c>
      <c r="M210" s="5">
        <v>770674</v>
      </c>
      <c r="N210" s="5">
        <v>187367</v>
      </c>
      <c r="O210" s="5">
        <v>366918.13</v>
      </c>
      <c r="P210" s="119">
        <f>_xlfn.XLOOKUP(raceday_22_23[[#This Row],[Helper]],'Betcha Integrated'!A:A,'Betcha Integrated'!H:H,0)</f>
        <v>327855.01</v>
      </c>
      <c r="Q210" s="4">
        <v>0.24299999999999999</v>
      </c>
      <c r="R210" s="4">
        <v>0.51100000000000001</v>
      </c>
      <c r="S210" s="18">
        <v>2.1</v>
      </c>
      <c r="T210" s="10">
        <v>883080</v>
      </c>
      <c r="U210" s="10">
        <v>89003</v>
      </c>
      <c r="V210" s="11">
        <v>0.10100000000000001</v>
      </c>
      <c r="W210" s="12">
        <f>IF(raceday_22_23[[#This Row],[Last Year Turnover]]=0, "No Corresponding PY Meeting", (raceday_22_23[[#This Row],[Betcha Inc. TO]]-raceday_22_23[[#This Row],[Last Year Turnover]])/raceday_22_23[[#This Row],[Last Year Turnover]])</f>
        <v>-4.436238823209681E-2</v>
      </c>
      <c r="X210" s="3">
        <f>MONTH(raceday_22_23[[#This Row],[Raceday Date]])</f>
        <v>4</v>
      </c>
      <c r="Y21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0" s="3" t="str">
        <f>raceday_22_23[[#This Row],[Raceday Date]]&amp;raceday_22_23[[#This Row],[Club]]</f>
        <v>45758Auckland Trotting Club Inc</v>
      </c>
      <c r="AA210" s="5">
        <f>0.03*raceday_22_23[[#This Row],[Export TO (AUD)]]</f>
        <v>9835.6502999999993</v>
      </c>
      <c r="AB210" s="5">
        <f>_xlfn.XLOOKUP(raceday_22_23[[#This Row],[Helper]],'Betcha Integrated'!A:A,'Betcha Integrated'!F:F, 0)</f>
        <v>843904.46219999995</v>
      </c>
      <c r="AC210" s="5">
        <f>_xlfn.XLOOKUP(raceday_22_23[[#This Row],[Helper]],'Betcha Integrated'!A:A,'Betcha Integrated'!G:G, 0)</f>
        <v>211711.84020000001</v>
      </c>
      <c r="AD210" s="5">
        <f>raceday_22_23[[#This Row],[Export Earned]]+raceday_22_23[[#This Row],[Betcha Inc. GBR]]</f>
        <v>221547.49050000001</v>
      </c>
      <c r="AE210" s="88">
        <f>ROUND(raceday_22_23[[#This Row],[Fav. Win %]]*raceday_22_23[[#This Row],[Races]], 0)</f>
        <v>5</v>
      </c>
    </row>
    <row r="211" spans="1:31" x14ac:dyDescent="0.3">
      <c r="A211" s="8">
        <v>45760</v>
      </c>
      <c r="B211" s="3" t="s">
        <v>82</v>
      </c>
      <c r="C211" s="3" t="s">
        <v>91</v>
      </c>
      <c r="D211" s="3" t="s">
        <v>81</v>
      </c>
      <c r="E211" s="3">
        <v>12</v>
      </c>
      <c r="F211" s="3">
        <v>150</v>
      </c>
      <c r="G211" s="3">
        <v>12.5</v>
      </c>
      <c r="H211" s="4">
        <v>0.33300000000000002</v>
      </c>
      <c r="I211" s="5">
        <v>171051</v>
      </c>
      <c r="J211" s="5">
        <v>14254</v>
      </c>
      <c r="K211" s="4">
        <v>1.1919999999999999</v>
      </c>
      <c r="L211" s="4">
        <v>0.33300000000000002</v>
      </c>
      <c r="M211" s="5">
        <v>1055133</v>
      </c>
      <c r="N211" s="5">
        <v>203841</v>
      </c>
      <c r="O211" s="5">
        <v>197911.9</v>
      </c>
      <c r="P211" s="119">
        <f>_xlfn.XLOOKUP(raceday_22_23[[#This Row],[Helper]],'Betcha Integrated'!A:A,'Betcha Integrated'!H:H,0)</f>
        <v>310698.18</v>
      </c>
      <c r="Q211" s="4">
        <v>0.193</v>
      </c>
      <c r="R211" s="4">
        <v>1.03</v>
      </c>
      <c r="S211" s="18">
        <v>5.3310000000000004</v>
      </c>
      <c r="T211" s="10">
        <v>1139931</v>
      </c>
      <c r="U211" s="10">
        <v>237661</v>
      </c>
      <c r="V211" s="11">
        <v>0.20799999999999999</v>
      </c>
      <c r="W211" s="12">
        <f>IF(raceday_22_23[[#This Row],[Last Year Turnover]]=0, "No Corresponding PY Meeting", (raceday_22_23[[#This Row],[Betcha Inc. TO]]-raceday_22_23[[#This Row],[Last Year Turnover]])/raceday_22_23[[#This Row],[Last Year Turnover]])</f>
        <v>-1.8961177036154797E-2</v>
      </c>
      <c r="X211" s="3">
        <f>MONTH(raceday_22_23[[#This Row],[Raceday Date]])</f>
        <v>4</v>
      </c>
      <c r="Y21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1" s="3" t="str">
        <f>raceday_22_23[[#This Row],[Raceday Date]]&amp;raceday_22_23[[#This Row],[Club]]</f>
        <v>45760Methven Trotting Club Inc</v>
      </c>
      <c r="AA211" s="5">
        <f>0.03*raceday_22_23[[#This Row],[Export TO (AUD)]]</f>
        <v>9320.9453999999987</v>
      </c>
      <c r="AB211" s="5">
        <f>_xlfn.XLOOKUP(raceday_22_23[[#This Row],[Helper]],'Betcha Integrated'!A:A,'Betcha Integrated'!F:F, 0)</f>
        <v>1118316.566499999</v>
      </c>
      <c r="AC211" s="5">
        <f>_xlfn.XLOOKUP(raceday_22_23[[#This Row],[Helper]],'Betcha Integrated'!A:A,'Betcha Integrated'!G:G, 0)</f>
        <v>212249.42959999898</v>
      </c>
      <c r="AD211" s="5">
        <f>raceday_22_23[[#This Row],[Export Earned]]+raceday_22_23[[#This Row],[Betcha Inc. GBR]]</f>
        <v>221570.37499999898</v>
      </c>
      <c r="AE211" s="88">
        <f>ROUND(raceday_22_23[[#This Row],[Fav. Win %]]*raceday_22_23[[#This Row],[Races]], 0)</f>
        <v>4</v>
      </c>
    </row>
    <row r="212" spans="1:31" x14ac:dyDescent="0.3">
      <c r="A212" s="8">
        <v>45762</v>
      </c>
      <c r="B212" s="3" t="s">
        <v>83</v>
      </c>
      <c r="C212" s="3" t="s">
        <v>80</v>
      </c>
      <c r="D212" s="3" t="s">
        <v>81</v>
      </c>
      <c r="E212" s="3">
        <v>8</v>
      </c>
      <c r="F212" s="3">
        <v>80</v>
      </c>
      <c r="G212" s="3">
        <v>10</v>
      </c>
      <c r="H212" s="4">
        <v>0.125</v>
      </c>
      <c r="I212" s="5">
        <v>69919</v>
      </c>
      <c r="J212" s="5">
        <v>8740</v>
      </c>
      <c r="K212" s="4">
        <v>1.026</v>
      </c>
      <c r="L212" s="4">
        <v>0</v>
      </c>
      <c r="M212" s="5">
        <v>318778</v>
      </c>
      <c r="N212" s="5">
        <v>71717</v>
      </c>
      <c r="O212" s="5">
        <v>107720.67</v>
      </c>
      <c r="P212" s="119">
        <f>_xlfn.XLOOKUP(raceday_22_23[[#This Row],[Helper]],'Betcha Integrated'!A:A,'Betcha Integrated'!H:H,0)</f>
        <v>219260.33</v>
      </c>
      <c r="Q212" s="4">
        <v>0.22500000000000001</v>
      </c>
      <c r="R212" s="4">
        <v>0.66600000000000004</v>
      </c>
      <c r="S212" s="18">
        <v>2.9590000000000001</v>
      </c>
      <c r="T212" s="10">
        <v>0</v>
      </c>
      <c r="U212" s="10">
        <v>0</v>
      </c>
      <c r="V212" s="11">
        <v>0</v>
      </c>
      <c r="W212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12" s="3">
        <f>MONTH(raceday_22_23[[#This Row],[Raceday Date]])</f>
        <v>4</v>
      </c>
      <c r="Y21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2" s="3" t="str">
        <f>raceday_22_23[[#This Row],[Raceday Date]]&amp;raceday_22_23[[#This Row],[Club]]</f>
        <v>45762NZ Metropolitan Trotting Club Inc</v>
      </c>
      <c r="AA212" s="5">
        <f>0.03*raceday_22_23[[#This Row],[Export TO (AUD)]]</f>
        <v>6577.8098999999993</v>
      </c>
      <c r="AB212" s="5">
        <f>_xlfn.XLOOKUP(raceday_22_23[[#This Row],[Helper]],'Betcha Integrated'!A:A,'Betcha Integrated'!F:F, 0)</f>
        <v>343397.44789999898</v>
      </c>
      <c r="AC212" s="5">
        <f>_xlfn.XLOOKUP(raceday_22_23[[#This Row],[Helper]],'Betcha Integrated'!A:A,'Betcha Integrated'!G:G, 0)</f>
        <v>70322.932399999903</v>
      </c>
      <c r="AD212" s="5">
        <f>raceday_22_23[[#This Row],[Export Earned]]+raceday_22_23[[#This Row],[Betcha Inc. GBR]]</f>
        <v>76900.742299999896</v>
      </c>
      <c r="AE212" s="88">
        <f>ROUND(raceday_22_23[[#This Row],[Fav. Win %]]*raceday_22_23[[#This Row],[Races]], 0)</f>
        <v>1</v>
      </c>
    </row>
    <row r="213" spans="1:31" x14ac:dyDescent="0.3">
      <c r="A213" s="8">
        <v>45762</v>
      </c>
      <c r="B213" s="3" t="s">
        <v>83</v>
      </c>
      <c r="C213" s="3" t="s">
        <v>84</v>
      </c>
      <c r="D213" s="3" t="s">
        <v>79</v>
      </c>
      <c r="E213" s="3">
        <v>7</v>
      </c>
      <c r="F213" s="3">
        <v>59</v>
      </c>
      <c r="G213" s="3">
        <v>8.4</v>
      </c>
      <c r="H213" s="4">
        <v>0.14299999999999999</v>
      </c>
      <c r="I213" s="5">
        <v>52500</v>
      </c>
      <c r="J213" s="5">
        <v>7500</v>
      </c>
      <c r="K213" s="4">
        <v>0.76900000000000002</v>
      </c>
      <c r="L213" s="4">
        <v>0.14299999999999999</v>
      </c>
      <c r="M213" s="5">
        <v>231397</v>
      </c>
      <c r="N213" s="5">
        <v>40397</v>
      </c>
      <c r="O213" s="5">
        <v>77686.240000000005</v>
      </c>
      <c r="P213" s="119">
        <f>_xlfn.XLOOKUP(raceday_22_23[[#This Row],[Helper]],'Betcha Integrated'!A:A,'Betcha Integrated'!H:H,0)</f>
        <v>220669.52</v>
      </c>
      <c r="Q213" s="4">
        <v>0.17499999999999999</v>
      </c>
      <c r="R213" s="4">
        <v>0.52</v>
      </c>
      <c r="S213" s="18">
        <v>2.9790000000000001</v>
      </c>
      <c r="T213" s="10">
        <v>0</v>
      </c>
      <c r="U213" s="10">
        <v>0</v>
      </c>
      <c r="V213" s="11">
        <v>0</v>
      </c>
      <c r="W213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13" s="3">
        <f>MONTH(raceday_22_23[[#This Row],[Raceday Date]])</f>
        <v>4</v>
      </c>
      <c r="Y21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3" s="3" t="str">
        <f>raceday_22_23[[#This Row],[Raceday Date]]&amp;raceday_22_23[[#This Row],[Club]]</f>
        <v>45762Waikato Bay of Plenty Harness Inc</v>
      </c>
      <c r="AA213" s="5">
        <f>0.03*raceday_22_23[[#This Row],[Export TO (AUD)]]</f>
        <v>6620.0855999999994</v>
      </c>
      <c r="AB213" s="5">
        <f>_xlfn.XLOOKUP(raceday_22_23[[#This Row],[Helper]],'Betcha Integrated'!A:A,'Betcha Integrated'!F:F, 0)</f>
        <v>251437.70449999999</v>
      </c>
      <c r="AC213" s="5">
        <f>_xlfn.XLOOKUP(raceday_22_23[[#This Row],[Helper]],'Betcha Integrated'!A:A,'Betcha Integrated'!G:G, 0)</f>
        <v>46127.1901</v>
      </c>
      <c r="AD213" s="5">
        <f>raceday_22_23[[#This Row],[Export Earned]]+raceday_22_23[[#This Row],[Betcha Inc. GBR]]</f>
        <v>52747.275699999998</v>
      </c>
      <c r="AE213" s="88">
        <f>ROUND(raceday_22_23[[#This Row],[Fav. Win %]]*raceday_22_23[[#This Row],[Races]], 0)</f>
        <v>1</v>
      </c>
    </row>
    <row r="214" spans="1:31" x14ac:dyDescent="0.3">
      <c r="A214" s="8">
        <v>45764</v>
      </c>
      <c r="B214" s="3" t="s">
        <v>74</v>
      </c>
      <c r="C214" s="3" t="s">
        <v>75</v>
      </c>
      <c r="D214" s="3" t="s">
        <v>76</v>
      </c>
      <c r="E214" s="3">
        <v>11</v>
      </c>
      <c r="F214" s="3">
        <v>118</v>
      </c>
      <c r="G214" s="3">
        <v>10.7</v>
      </c>
      <c r="H214" s="4">
        <v>0.182</v>
      </c>
      <c r="I214" s="5">
        <v>263625</v>
      </c>
      <c r="J214" s="5">
        <v>23966</v>
      </c>
      <c r="K214" s="4">
        <v>0.60699999999999998</v>
      </c>
      <c r="L214" s="4">
        <v>0.182</v>
      </c>
      <c r="M214" s="5">
        <v>761741</v>
      </c>
      <c r="N214" s="5">
        <v>160070</v>
      </c>
      <c r="O214" s="5">
        <v>285725.84000000003</v>
      </c>
      <c r="P214" s="119">
        <f>_xlfn.XLOOKUP(raceday_22_23[[#This Row],[Helper]],'Betcha Integrated'!A:A,'Betcha Integrated'!H:H,0)</f>
        <v>311103</v>
      </c>
      <c r="Q214" s="4">
        <v>0.21</v>
      </c>
      <c r="R214" s="4">
        <v>0.56000000000000005</v>
      </c>
      <c r="S214" s="18">
        <v>2.6659999999999999</v>
      </c>
      <c r="T214" s="10">
        <v>710781</v>
      </c>
      <c r="U214" s="10">
        <v>171284</v>
      </c>
      <c r="V214" s="11">
        <v>0.24099999999999999</v>
      </c>
      <c r="W214" s="12">
        <f>IF(raceday_22_23[[#This Row],[Last Year Turnover]]=0, "No Corresponding PY Meeting", (raceday_22_23[[#This Row],[Betcha Inc. TO]]-raceday_22_23[[#This Row],[Last Year Turnover]])/raceday_22_23[[#This Row],[Last Year Turnover]])</f>
        <v>0.14232471239383013</v>
      </c>
      <c r="X214" s="3">
        <f>MONTH(raceday_22_23[[#This Row],[Raceday Date]])</f>
        <v>4</v>
      </c>
      <c r="Y21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4" s="3" t="str">
        <f>raceday_22_23[[#This Row],[Raceday Date]]&amp;raceday_22_23[[#This Row],[Club]]</f>
        <v>45764Winton Harness Racing Club Inc</v>
      </c>
      <c r="AA214" s="5">
        <f>0.03*raceday_22_23[[#This Row],[Export TO (AUD)]]</f>
        <v>9333.09</v>
      </c>
      <c r="AB214" s="5">
        <f>_xlfn.XLOOKUP(raceday_22_23[[#This Row],[Helper]],'Betcha Integrated'!A:A,'Betcha Integrated'!F:F, 0)</f>
        <v>811942.70139999897</v>
      </c>
      <c r="AC214" s="5">
        <f>_xlfn.XLOOKUP(raceday_22_23[[#This Row],[Helper]],'Betcha Integrated'!A:A,'Betcha Integrated'!G:G, 0)</f>
        <v>173812.69859999989</v>
      </c>
      <c r="AD214" s="5">
        <f>raceday_22_23[[#This Row],[Export Earned]]+raceday_22_23[[#This Row],[Betcha Inc. GBR]]</f>
        <v>183145.78859999988</v>
      </c>
      <c r="AE214" s="88">
        <f>ROUND(raceday_22_23[[#This Row],[Fav. Win %]]*raceday_22_23[[#This Row],[Races]], 0)</f>
        <v>2</v>
      </c>
    </row>
    <row r="215" spans="1:31" x14ac:dyDescent="0.3">
      <c r="A215" s="8">
        <v>45766</v>
      </c>
      <c r="B215" s="3" t="s">
        <v>93</v>
      </c>
      <c r="C215" s="3" t="s">
        <v>80</v>
      </c>
      <c r="D215" s="3" t="s">
        <v>81</v>
      </c>
      <c r="E215" s="3">
        <v>12</v>
      </c>
      <c r="F215" s="3">
        <v>137</v>
      </c>
      <c r="G215" s="3">
        <v>11.4</v>
      </c>
      <c r="H215" s="4">
        <v>0.41699999999999998</v>
      </c>
      <c r="I215" s="5">
        <v>313337</v>
      </c>
      <c r="J215" s="5">
        <v>26111</v>
      </c>
      <c r="K215" s="4">
        <v>0.26800000000000002</v>
      </c>
      <c r="L215" s="4">
        <v>0.16700000000000001</v>
      </c>
      <c r="M215" s="5">
        <v>848989</v>
      </c>
      <c r="N215" s="5">
        <v>84089</v>
      </c>
      <c r="O215" s="5">
        <v>352609.42</v>
      </c>
      <c r="P215" s="119">
        <f>_xlfn.XLOOKUP(raceday_22_23[[#This Row],[Helper]],'Betcha Integrated'!A:A,'Betcha Integrated'!H:H,0)</f>
        <v>233546.17</v>
      </c>
      <c r="Q215" s="4">
        <v>9.9000000000000005E-2</v>
      </c>
      <c r="R215" s="4">
        <v>0.23799999999999999</v>
      </c>
      <c r="S215" s="18">
        <v>2.4079999999999999</v>
      </c>
      <c r="T215" s="10">
        <v>872159</v>
      </c>
      <c r="U215" s="10">
        <v>149378</v>
      </c>
      <c r="V215" s="11">
        <v>0.17100000000000001</v>
      </c>
      <c r="W215" s="12">
        <f>IF(raceday_22_23[[#This Row],[Last Year Turnover]]=0, "No Corresponding PY Meeting", (raceday_22_23[[#This Row],[Betcha Inc. TO]]-raceday_22_23[[#This Row],[Last Year Turnover]])/raceday_22_23[[#This Row],[Last Year Turnover]])</f>
        <v>1.8549136224013038E-2</v>
      </c>
      <c r="X215" s="3">
        <f>MONTH(raceday_22_23[[#This Row],[Raceday Date]])</f>
        <v>4</v>
      </c>
      <c r="Y21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5" s="3" t="str">
        <f>raceday_22_23[[#This Row],[Raceday Date]]&amp;raceday_22_23[[#This Row],[Club]]</f>
        <v>45766NZ Metropolitan Trotting Club Inc</v>
      </c>
      <c r="AA215" s="5">
        <f>0.03*raceday_22_23[[#This Row],[Export TO (AUD)]]</f>
        <v>7006.3851000000004</v>
      </c>
      <c r="AB215" s="5">
        <f>_xlfn.XLOOKUP(raceday_22_23[[#This Row],[Helper]],'Betcha Integrated'!A:A,'Betcha Integrated'!F:F, 0)</f>
        <v>888336.79609999899</v>
      </c>
      <c r="AC215" s="5">
        <f>_xlfn.XLOOKUP(raceday_22_23[[#This Row],[Helper]],'Betcha Integrated'!A:A,'Betcha Integrated'!G:G, 0)</f>
        <v>89177.898599999899</v>
      </c>
      <c r="AD215" s="5">
        <f>raceday_22_23[[#This Row],[Export Earned]]+raceday_22_23[[#This Row],[Betcha Inc. GBR]]</f>
        <v>96184.283699999898</v>
      </c>
      <c r="AE215" s="88">
        <f>ROUND(raceday_22_23[[#This Row],[Fav. Win %]]*raceday_22_23[[#This Row],[Races]], 0)</f>
        <v>5</v>
      </c>
    </row>
    <row r="216" spans="1:31" x14ac:dyDescent="0.3">
      <c r="A216" s="8">
        <v>45766</v>
      </c>
      <c r="B216" s="3" t="s">
        <v>93</v>
      </c>
      <c r="C216" s="3" t="s">
        <v>78</v>
      </c>
      <c r="D216" s="3" t="s">
        <v>79</v>
      </c>
      <c r="E216" s="3">
        <v>9</v>
      </c>
      <c r="F216" s="3">
        <v>68</v>
      </c>
      <c r="G216" s="3">
        <v>7.6</v>
      </c>
      <c r="H216" s="4">
        <v>0.44400000000000001</v>
      </c>
      <c r="I216" s="5">
        <v>155281</v>
      </c>
      <c r="J216" s="5">
        <v>17253</v>
      </c>
      <c r="K216" s="4">
        <v>0.84199999999999997</v>
      </c>
      <c r="L216" s="4">
        <v>0.111</v>
      </c>
      <c r="M216" s="5">
        <v>437857</v>
      </c>
      <c r="N216" s="5">
        <v>130787</v>
      </c>
      <c r="O216" s="5">
        <v>181685.63</v>
      </c>
      <c r="P216" s="119">
        <f>_xlfn.XLOOKUP(raceday_22_23[[#This Row],[Helper]],'Betcha Integrated'!A:A,'Betcha Integrated'!H:H,0)</f>
        <v>147742.66</v>
      </c>
      <c r="Q216" s="4">
        <v>0.29899999999999999</v>
      </c>
      <c r="R216" s="4">
        <v>0.72</v>
      </c>
      <c r="S216" s="18">
        <v>2.41</v>
      </c>
      <c r="T216" s="10">
        <v>642397</v>
      </c>
      <c r="U216" s="10">
        <v>42345</v>
      </c>
      <c r="V216" s="11">
        <v>6.6000000000000003E-2</v>
      </c>
      <c r="W216" s="12">
        <f>IF(raceday_22_23[[#This Row],[Last Year Turnover]]=0, "No Corresponding PY Meeting", (raceday_22_23[[#This Row],[Betcha Inc. TO]]-raceday_22_23[[#This Row],[Last Year Turnover]])/raceday_22_23[[#This Row],[Last Year Turnover]])</f>
        <v>-0.22701415370868952</v>
      </c>
      <c r="X216" s="3">
        <f>MONTH(raceday_22_23[[#This Row],[Raceday Date]])</f>
        <v>4</v>
      </c>
      <c r="Y21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6" s="3" t="str">
        <f>raceday_22_23[[#This Row],[Raceday Date]]&amp;raceday_22_23[[#This Row],[Club]]</f>
        <v>45766Auckland Trotting Club Inc</v>
      </c>
      <c r="AA216" s="5">
        <f>0.03*raceday_22_23[[#This Row],[Export TO (AUD)]]</f>
        <v>4432.2798000000003</v>
      </c>
      <c r="AB216" s="5">
        <f>_xlfn.XLOOKUP(raceday_22_23[[#This Row],[Helper]],'Betcha Integrated'!A:A,'Betcha Integrated'!F:F, 0)</f>
        <v>496563.78869999899</v>
      </c>
      <c r="AC216" s="5">
        <f>_xlfn.XLOOKUP(raceday_22_23[[#This Row],[Helper]],'Betcha Integrated'!A:A,'Betcha Integrated'!G:G, 0)</f>
        <v>107209.99400000001</v>
      </c>
      <c r="AD216" s="5">
        <f>raceday_22_23[[#This Row],[Export Earned]]+raceday_22_23[[#This Row],[Betcha Inc. GBR]]</f>
        <v>111642.27380000001</v>
      </c>
      <c r="AE216" s="88">
        <f>ROUND(raceday_22_23[[#This Row],[Fav. Win %]]*raceday_22_23[[#This Row],[Races]], 0)</f>
        <v>4</v>
      </c>
    </row>
    <row r="217" spans="1:31" x14ac:dyDescent="0.3">
      <c r="A217" s="8">
        <v>45768</v>
      </c>
      <c r="B217" s="3" t="s">
        <v>99</v>
      </c>
      <c r="C217" s="3" t="s">
        <v>94</v>
      </c>
      <c r="D217" s="3" t="s">
        <v>81</v>
      </c>
      <c r="E217" s="3">
        <v>12</v>
      </c>
      <c r="F217" s="3">
        <v>140</v>
      </c>
      <c r="G217" s="3">
        <v>11.7</v>
      </c>
      <c r="H217" s="4">
        <v>0.33300000000000002</v>
      </c>
      <c r="I217" s="5">
        <v>145169</v>
      </c>
      <c r="J217" s="5">
        <v>12097</v>
      </c>
      <c r="K217" s="4">
        <v>1.4970000000000001</v>
      </c>
      <c r="L217" s="4">
        <v>8.3000000000000004E-2</v>
      </c>
      <c r="M217" s="5">
        <v>907226</v>
      </c>
      <c r="N217" s="5">
        <v>217352</v>
      </c>
      <c r="O217" s="5">
        <v>189564.08</v>
      </c>
      <c r="P217" s="119">
        <f>_xlfn.XLOOKUP(raceday_22_23[[#This Row],[Helper]],'Betcha Integrated'!A:A,'Betcha Integrated'!H:H,0)</f>
        <v>279986.62</v>
      </c>
      <c r="Q217" s="4">
        <v>0.24</v>
      </c>
      <c r="R217" s="4">
        <v>1.147</v>
      </c>
      <c r="S217" s="18">
        <v>4.7859999999999996</v>
      </c>
      <c r="T217" s="10">
        <v>980244</v>
      </c>
      <c r="U217" s="10">
        <v>180597</v>
      </c>
      <c r="V217" s="11">
        <v>0.184</v>
      </c>
      <c r="W217" s="12">
        <f>IF(raceday_22_23[[#This Row],[Last Year Turnover]]=0, "No Corresponding PY Meeting", (raceday_22_23[[#This Row],[Betcha Inc. TO]]-raceday_22_23[[#This Row],[Last Year Turnover]])/raceday_22_23[[#This Row],[Last Year Turnover]])</f>
        <v>-1.9099655595954813E-2</v>
      </c>
      <c r="X217" s="3">
        <f>MONTH(raceday_22_23[[#This Row],[Raceday Date]])</f>
        <v>4</v>
      </c>
      <c r="Y21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7" s="3" t="str">
        <f>raceday_22_23[[#This Row],[Raceday Date]]&amp;raceday_22_23[[#This Row],[Club]]</f>
        <v>45768Banks Peninsula Trotting Club Inc</v>
      </c>
      <c r="AA217" s="5">
        <f>0.03*raceday_22_23[[#This Row],[Export TO (AUD)]]</f>
        <v>8399.5985999999994</v>
      </c>
      <c r="AB217" s="5">
        <f>_xlfn.XLOOKUP(raceday_22_23[[#This Row],[Helper]],'Betcha Integrated'!A:A,'Betcha Integrated'!F:F, 0)</f>
        <v>961521.67719999887</v>
      </c>
      <c r="AC217" s="5">
        <f>_xlfn.XLOOKUP(raceday_22_23[[#This Row],[Helper]],'Betcha Integrated'!A:A,'Betcha Integrated'!G:G, 0)</f>
        <v>222908.1313999999</v>
      </c>
      <c r="AD217" s="5">
        <f>raceday_22_23[[#This Row],[Export Earned]]+raceday_22_23[[#This Row],[Betcha Inc. GBR]]</f>
        <v>231307.72999999989</v>
      </c>
      <c r="AE217" s="88">
        <f>ROUND(raceday_22_23[[#This Row],[Fav. Win %]]*raceday_22_23[[#This Row],[Races]], 0)</f>
        <v>4</v>
      </c>
    </row>
    <row r="218" spans="1:31" x14ac:dyDescent="0.3">
      <c r="A218" s="8">
        <v>45769</v>
      </c>
      <c r="B218" s="3" t="s">
        <v>83</v>
      </c>
      <c r="C218" s="3" t="s">
        <v>84</v>
      </c>
      <c r="D218" s="3" t="s">
        <v>79</v>
      </c>
      <c r="E218" s="3">
        <v>7</v>
      </c>
      <c r="F218" s="3">
        <v>64</v>
      </c>
      <c r="G218" s="3">
        <v>9.1</v>
      </c>
      <c r="H218" s="4">
        <v>0.28599999999999998</v>
      </c>
      <c r="I218" s="5">
        <v>53200</v>
      </c>
      <c r="J218" s="5">
        <v>7600</v>
      </c>
      <c r="K218" s="4">
        <v>1.206</v>
      </c>
      <c r="L218" s="4">
        <v>0.14299999999999999</v>
      </c>
      <c r="M218" s="5">
        <v>294751</v>
      </c>
      <c r="N218" s="5">
        <v>64162</v>
      </c>
      <c r="O218" s="5">
        <v>78491.240000000005</v>
      </c>
      <c r="P218" s="119">
        <f>_xlfn.XLOOKUP(raceday_22_23[[#This Row],[Helper]],'Betcha Integrated'!A:A,'Betcha Integrated'!H:H,0)</f>
        <v>215492.5</v>
      </c>
      <c r="Q218" s="4">
        <v>0.218</v>
      </c>
      <c r="R218" s="4">
        <v>0.81699999999999995</v>
      </c>
      <c r="S218" s="18">
        <v>3.7549999999999999</v>
      </c>
      <c r="T218" s="10">
        <v>0</v>
      </c>
      <c r="U218" s="10">
        <v>0</v>
      </c>
      <c r="V218" s="11">
        <v>0</v>
      </c>
      <c r="W218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18" s="3">
        <f>MONTH(raceday_22_23[[#This Row],[Raceday Date]])</f>
        <v>4</v>
      </c>
      <c r="Y21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8" s="3" t="str">
        <f>raceday_22_23[[#This Row],[Raceday Date]]&amp;raceday_22_23[[#This Row],[Club]]</f>
        <v>45769Waikato Bay of Plenty Harness Inc</v>
      </c>
      <c r="AA218" s="5">
        <f>0.03*raceday_22_23[[#This Row],[Export TO (AUD)]]</f>
        <v>6464.7749999999996</v>
      </c>
      <c r="AB218" s="5">
        <f>_xlfn.XLOOKUP(raceday_22_23[[#This Row],[Helper]],'Betcha Integrated'!A:A,'Betcha Integrated'!F:F, 0)</f>
        <v>318381.02159999899</v>
      </c>
      <c r="AC218" s="5">
        <f>_xlfn.XLOOKUP(raceday_22_23[[#This Row],[Helper]],'Betcha Integrated'!A:A,'Betcha Integrated'!G:G, 0)</f>
        <v>72218.37329999989</v>
      </c>
      <c r="AD218" s="5">
        <f>raceday_22_23[[#This Row],[Export Earned]]+raceday_22_23[[#This Row],[Betcha Inc. GBR]]</f>
        <v>78683.148299999884</v>
      </c>
      <c r="AE218" s="88">
        <f>ROUND(raceday_22_23[[#This Row],[Fav. Win %]]*raceday_22_23[[#This Row],[Races]], 0)</f>
        <v>2</v>
      </c>
    </row>
    <row r="219" spans="1:31" x14ac:dyDescent="0.3">
      <c r="A219" s="8">
        <v>45771</v>
      </c>
      <c r="B219" s="3" t="s">
        <v>74</v>
      </c>
      <c r="C219" s="3" t="s">
        <v>85</v>
      </c>
      <c r="D219" s="3" t="s">
        <v>76</v>
      </c>
      <c r="E219" s="3">
        <v>7</v>
      </c>
      <c r="F219" s="3">
        <v>73</v>
      </c>
      <c r="G219" s="3">
        <v>10.4</v>
      </c>
      <c r="H219" s="4">
        <v>0.71399999999999997</v>
      </c>
      <c r="I219" s="5">
        <v>79760</v>
      </c>
      <c r="J219" s="5">
        <v>11394</v>
      </c>
      <c r="K219" s="4">
        <v>1.2549999999999999</v>
      </c>
      <c r="L219" s="4">
        <v>0</v>
      </c>
      <c r="M219" s="5">
        <v>398870</v>
      </c>
      <c r="N219" s="5">
        <v>100123</v>
      </c>
      <c r="O219" s="5">
        <v>104692.86</v>
      </c>
      <c r="P219" s="119">
        <f>_xlfn.XLOOKUP(raceday_22_23[[#This Row],[Helper]],'Betcha Integrated'!A:A,'Betcha Integrated'!H:H,0)</f>
        <v>204966.83000000002</v>
      </c>
      <c r="Q219" s="4">
        <v>0.251</v>
      </c>
      <c r="R219" s="4">
        <v>0.95599999999999996</v>
      </c>
      <c r="S219" s="18">
        <v>3.81</v>
      </c>
      <c r="T219" s="10">
        <v>0</v>
      </c>
      <c r="U219" s="10">
        <v>0</v>
      </c>
      <c r="V219" s="11">
        <v>0</v>
      </c>
      <c r="W21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19" s="3">
        <f>MONTH(raceday_22_23[[#This Row],[Raceday Date]])</f>
        <v>4</v>
      </c>
      <c r="Y21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19" s="3" t="str">
        <f>raceday_22_23[[#This Row],[Raceday Date]]&amp;raceday_22_23[[#This Row],[Club]]</f>
        <v>45771Invercargill Harness Racing Club Inc</v>
      </c>
      <c r="AA219" s="5">
        <f>0.03*raceday_22_23[[#This Row],[Export TO (AUD)]]</f>
        <v>6149.0048999999999</v>
      </c>
      <c r="AB219" s="5">
        <f>_xlfn.XLOOKUP(raceday_22_23[[#This Row],[Helper]],'Betcha Integrated'!A:A,'Betcha Integrated'!F:F, 0)</f>
        <v>423297.18449999904</v>
      </c>
      <c r="AC219" s="5">
        <f>_xlfn.XLOOKUP(raceday_22_23[[#This Row],[Helper]],'Betcha Integrated'!A:A,'Betcha Integrated'!G:G, 0)</f>
        <v>99780.862499999901</v>
      </c>
      <c r="AD219" s="5">
        <f>raceday_22_23[[#This Row],[Export Earned]]+raceday_22_23[[#This Row],[Betcha Inc. GBR]]</f>
        <v>105929.8673999999</v>
      </c>
      <c r="AE219" s="88">
        <f>ROUND(raceday_22_23[[#This Row],[Fav. Win %]]*raceday_22_23[[#This Row],[Races]], 0)</f>
        <v>5</v>
      </c>
    </row>
    <row r="220" spans="1:31" x14ac:dyDescent="0.3">
      <c r="A220" s="8">
        <v>45772</v>
      </c>
      <c r="B220" s="3" t="s">
        <v>77</v>
      </c>
      <c r="C220" s="3" t="s">
        <v>80</v>
      </c>
      <c r="D220" s="3" t="s">
        <v>81</v>
      </c>
      <c r="E220" s="3">
        <v>10</v>
      </c>
      <c r="F220" s="3">
        <v>101</v>
      </c>
      <c r="G220" s="3">
        <v>10.1</v>
      </c>
      <c r="H220" s="4">
        <v>0.3</v>
      </c>
      <c r="I220" s="5">
        <v>176102</v>
      </c>
      <c r="J220" s="5">
        <v>17610</v>
      </c>
      <c r="K220" s="4">
        <v>1.254</v>
      </c>
      <c r="L220" s="4">
        <v>0</v>
      </c>
      <c r="M220" s="5">
        <v>902597</v>
      </c>
      <c r="N220" s="5">
        <v>220915</v>
      </c>
      <c r="O220" s="5">
        <v>213799.42</v>
      </c>
      <c r="P220" s="119">
        <f>_xlfn.XLOOKUP(raceday_22_23[[#This Row],[Helper]],'Betcha Integrated'!A:A,'Betcha Integrated'!H:H,0)</f>
        <v>155227.09</v>
      </c>
      <c r="Q220" s="4">
        <v>0.245</v>
      </c>
      <c r="R220" s="4">
        <v>1.0329999999999999</v>
      </c>
      <c r="S220" s="18">
        <v>4.2220000000000004</v>
      </c>
      <c r="T220" s="10">
        <v>839523</v>
      </c>
      <c r="U220" s="10">
        <v>65124</v>
      </c>
      <c r="V220" s="11">
        <v>7.8E-2</v>
      </c>
      <c r="W220" s="12">
        <f>IF(raceday_22_23[[#This Row],[Last Year Turnover]]=0, "No Corresponding PY Meeting", (raceday_22_23[[#This Row],[Betcha Inc. TO]]-raceday_22_23[[#This Row],[Last Year Turnover]])/raceday_22_23[[#This Row],[Last Year Turnover]])</f>
        <v>0.15082515440315394</v>
      </c>
      <c r="X220" s="3">
        <f>MONTH(raceday_22_23[[#This Row],[Raceday Date]])</f>
        <v>4</v>
      </c>
      <c r="Y22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0" s="3" t="str">
        <f>raceday_22_23[[#This Row],[Raceday Date]]&amp;raceday_22_23[[#This Row],[Club]]</f>
        <v>45772NZ Metropolitan Trotting Club Inc</v>
      </c>
      <c r="AA220" s="5">
        <f>0.03*raceday_22_23[[#This Row],[Export TO (AUD)]]</f>
        <v>4656.8126999999995</v>
      </c>
      <c r="AB220" s="5">
        <f>_xlfn.XLOOKUP(raceday_22_23[[#This Row],[Helper]],'Betcha Integrated'!A:A,'Betcha Integrated'!F:F, 0)</f>
        <v>966144.186099999</v>
      </c>
      <c r="AC220" s="5">
        <f>_xlfn.XLOOKUP(raceday_22_23[[#This Row],[Helper]],'Betcha Integrated'!A:A,'Betcha Integrated'!G:G, 0)</f>
        <v>240445.13089999993</v>
      </c>
      <c r="AD220" s="5">
        <f>raceday_22_23[[#This Row],[Export Earned]]+raceday_22_23[[#This Row],[Betcha Inc. GBR]]</f>
        <v>245101.94359999994</v>
      </c>
      <c r="AE220" s="88">
        <f>ROUND(raceday_22_23[[#This Row],[Fav. Win %]]*raceday_22_23[[#This Row],[Races]], 0)</f>
        <v>3</v>
      </c>
    </row>
    <row r="221" spans="1:31" x14ac:dyDescent="0.3">
      <c r="A221" s="8">
        <v>45772</v>
      </c>
      <c r="B221" s="3" t="s">
        <v>77</v>
      </c>
      <c r="C221" s="3" t="s">
        <v>78</v>
      </c>
      <c r="D221" s="3" t="s">
        <v>79</v>
      </c>
      <c r="E221" s="3">
        <v>10</v>
      </c>
      <c r="F221" s="3">
        <v>106</v>
      </c>
      <c r="G221" s="3">
        <v>10.6</v>
      </c>
      <c r="H221" s="4">
        <v>0.6</v>
      </c>
      <c r="I221" s="5">
        <v>702675</v>
      </c>
      <c r="J221" s="5">
        <v>70268</v>
      </c>
      <c r="K221" s="4">
        <v>0.113</v>
      </c>
      <c r="L221" s="4">
        <v>0.1</v>
      </c>
      <c r="M221" s="5">
        <v>1077864</v>
      </c>
      <c r="N221" s="5">
        <v>79556</v>
      </c>
      <c r="O221" s="5">
        <v>728975.63</v>
      </c>
      <c r="P221" s="119">
        <f>_xlfn.XLOOKUP(raceday_22_23[[#This Row],[Helper]],'Betcha Integrated'!A:A,'Betcha Integrated'!H:H,0)</f>
        <v>292606.44</v>
      </c>
      <c r="Q221" s="4">
        <v>7.3999999999999996E-2</v>
      </c>
      <c r="R221" s="4">
        <v>0.109</v>
      </c>
      <c r="S221" s="18">
        <v>1.4790000000000001</v>
      </c>
      <c r="T221" s="10">
        <v>722997</v>
      </c>
      <c r="U221" s="10">
        <v>218900</v>
      </c>
      <c r="V221" s="11">
        <v>0.30299999999999999</v>
      </c>
      <c r="W221" s="12">
        <f>IF(raceday_22_23[[#This Row],[Last Year Turnover]]=0, "No Corresponding PY Meeting", (raceday_22_23[[#This Row],[Betcha Inc. TO]]-raceday_22_23[[#This Row],[Last Year Turnover]])/raceday_22_23[[#This Row],[Last Year Turnover]])</f>
        <v>0.63167580833668735</v>
      </c>
      <c r="X221" s="3">
        <f>MONTH(raceday_22_23[[#This Row],[Raceday Date]])</f>
        <v>4</v>
      </c>
      <c r="Y22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1" s="3" t="str">
        <f>raceday_22_23[[#This Row],[Raceday Date]]&amp;raceday_22_23[[#This Row],[Club]]</f>
        <v>45772Auckland Trotting Club Inc</v>
      </c>
      <c r="AA221" s="5">
        <f>0.03*raceday_22_23[[#This Row],[Export TO (AUD)]]</f>
        <v>8778.1931999999997</v>
      </c>
      <c r="AB221" s="5">
        <f>_xlfn.XLOOKUP(raceday_22_23[[#This Row],[Helper]],'Betcha Integrated'!A:A,'Betcha Integrated'!F:F, 0)</f>
        <v>1179696.7143999999</v>
      </c>
      <c r="AC221" s="5">
        <f>_xlfn.XLOOKUP(raceday_22_23[[#This Row],[Helper]],'Betcha Integrated'!A:A,'Betcha Integrated'!G:G, 0)</f>
        <v>106286.59319999989</v>
      </c>
      <c r="AD221" s="5">
        <f>raceday_22_23[[#This Row],[Export Earned]]+raceday_22_23[[#This Row],[Betcha Inc. GBR]]</f>
        <v>115064.78639999988</v>
      </c>
      <c r="AE221" s="88">
        <f>ROUND(raceday_22_23[[#This Row],[Fav. Win %]]*raceday_22_23[[#This Row],[Races]], 0)</f>
        <v>6</v>
      </c>
    </row>
    <row r="222" spans="1:31" x14ac:dyDescent="0.3">
      <c r="A222" s="8">
        <v>45774</v>
      </c>
      <c r="B222" s="3" t="s">
        <v>82</v>
      </c>
      <c r="C222" s="3" t="s">
        <v>89</v>
      </c>
      <c r="D222" s="3" t="s">
        <v>81</v>
      </c>
      <c r="E222" s="3">
        <v>11</v>
      </c>
      <c r="F222" s="3">
        <v>120</v>
      </c>
      <c r="G222" s="3">
        <v>10.9</v>
      </c>
      <c r="H222" s="4">
        <v>0.45500000000000002</v>
      </c>
      <c r="I222" s="5">
        <v>141365</v>
      </c>
      <c r="J222" s="5">
        <v>12851</v>
      </c>
      <c r="K222" s="4">
        <v>0.60199999999999998</v>
      </c>
      <c r="L222" s="4">
        <v>9.0999999999999998E-2</v>
      </c>
      <c r="M222" s="5">
        <v>629066</v>
      </c>
      <c r="N222" s="5">
        <v>85032</v>
      </c>
      <c r="O222" s="5">
        <v>174253.25</v>
      </c>
      <c r="P222" s="119">
        <f>_xlfn.XLOOKUP(raceday_22_23[[#This Row],[Helper]],'Betcha Integrated'!A:A,'Betcha Integrated'!H:H,0)</f>
        <v>169920.78</v>
      </c>
      <c r="Q222" s="4">
        <v>0.13500000000000001</v>
      </c>
      <c r="R222" s="4">
        <v>0.48799999999999999</v>
      </c>
      <c r="S222" s="18">
        <v>3.61</v>
      </c>
      <c r="T222" s="10">
        <v>913672</v>
      </c>
      <c r="U222" s="10">
        <v>175269</v>
      </c>
      <c r="V222" s="11">
        <v>0.192</v>
      </c>
      <c r="W222" s="12">
        <f>IF(raceday_22_23[[#This Row],[Last Year Turnover]]=0, "No Corresponding PY Meeting", (raceday_22_23[[#This Row],[Betcha Inc. TO]]-raceday_22_23[[#This Row],[Last Year Turnover]])/raceday_22_23[[#This Row],[Last Year Turnover]])</f>
        <v>-0.27095051418890037</v>
      </c>
      <c r="X222" s="3">
        <f>MONTH(raceday_22_23[[#This Row],[Raceday Date]])</f>
        <v>4</v>
      </c>
      <c r="Y22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2" s="3" t="str">
        <f>raceday_22_23[[#This Row],[Raceday Date]]&amp;raceday_22_23[[#This Row],[Club]]</f>
        <v>45774Rangiora Harness Racing Club Inc</v>
      </c>
      <c r="AA222" s="5">
        <f>0.03*raceday_22_23[[#This Row],[Export TO (AUD)]]</f>
        <v>5097.6233999999995</v>
      </c>
      <c r="AB222" s="5">
        <f>_xlfn.XLOOKUP(raceday_22_23[[#This Row],[Helper]],'Betcha Integrated'!A:A,'Betcha Integrated'!F:F, 0)</f>
        <v>666112.10179999901</v>
      </c>
      <c r="AC222" s="5">
        <f>_xlfn.XLOOKUP(raceday_22_23[[#This Row],[Helper]],'Betcha Integrated'!A:A,'Betcha Integrated'!G:G, 0)</f>
        <v>85076.063299999892</v>
      </c>
      <c r="AD222" s="5">
        <f>raceday_22_23[[#This Row],[Export Earned]]+raceday_22_23[[#This Row],[Betcha Inc. GBR]]</f>
        <v>90173.686699999889</v>
      </c>
      <c r="AE222" s="88">
        <f>ROUND(raceday_22_23[[#This Row],[Fav. Win %]]*raceday_22_23[[#This Row],[Races]], 0)</f>
        <v>5</v>
      </c>
    </row>
    <row r="223" spans="1:31" x14ac:dyDescent="0.3">
      <c r="A223" s="8">
        <v>45774</v>
      </c>
      <c r="B223" s="3" t="s">
        <v>82</v>
      </c>
      <c r="C223" s="3" t="s">
        <v>85</v>
      </c>
      <c r="D223" s="3" t="s">
        <v>76</v>
      </c>
      <c r="E223" s="3">
        <v>11</v>
      </c>
      <c r="F223" s="3">
        <v>105</v>
      </c>
      <c r="G223" s="3">
        <v>9.5</v>
      </c>
      <c r="H223" s="4">
        <v>0.36399999999999999</v>
      </c>
      <c r="I223" s="5">
        <v>397763</v>
      </c>
      <c r="J223" s="5">
        <v>36160</v>
      </c>
      <c r="K223" s="4">
        <v>0.46700000000000003</v>
      </c>
      <c r="L223" s="4">
        <v>0.182</v>
      </c>
      <c r="M223" s="5">
        <v>818973</v>
      </c>
      <c r="N223" s="5">
        <v>185735</v>
      </c>
      <c r="O223" s="5">
        <v>422590.36</v>
      </c>
      <c r="P223" s="119">
        <f>_xlfn.XLOOKUP(raceday_22_23[[#This Row],[Helper]],'Betcha Integrated'!A:A,'Betcha Integrated'!H:H,0)</f>
        <v>222233.55</v>
      </c>
      <c r="Q223" s="4">
        <v>0.22700000000000001</v>
      </c>
      <c r="R223" s="4">
        <v>0.44</v>
      </c>
      <c r="S223" s="18">
        <v>1.9379999999999999</v>
      </c>
      <c r="T223" s="10">
        <v>1054204</v>
      </c>
      <c r="U223" s="10">
        <v>38199</v>
      </c>
      <c r="V223" s="11">
        <v>3.5999999999999997E-2</v>
      </c>
      <c r="W223" s="12">
        <f>IF(raceday_22_23[[#This Row],[Last Year Turnover]]=0, "No Corresponding PY Meeting", (raceday_22_23[[#This Row],[Betcha Inc. TO]]-raceday_22_23[[#This Row],[Last Year Turnover]])/raceday_22_23[[#This Row],[Last Year Turnover]])</f>
        <v>-0.18096432028336162</v>
      </c>
      <c r="X223" s="3">
        <f>MONTH(raceday_22_23[[#This Row],[Raceday Date]])</f>
        <v>4</v>
      </c>
      <c r="Y22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3" s="3" t="str">
        <f>raceday_22_23[[#This Row],[Raceday Date]]&amp;raceday_22_23[[#This Row],[Club]]</f>
        <v>45774Invercargill Harness Racing Club Inc</v>
      </c>
      <c r="AA223" s="5">
        <f>0.03*raceday_22_23[[#This Row],[Export TO (AUD)]]</f>
        <v>6667.0064999999995</v>
      </c>
      <c r="AB223" s="5">
        <f>_xlfn.XLOOKUP(raceday_22_23[[#This Row],[Helper]],'Betcha Integrated'!A:A,'Betcha Integrated'!F:F, 0)</f>
        <v>863430.68969999906</v>
      </c>
      <c r="AC223" s="5">
        <f>_xlfn.XLOOKUP(raceday_22_23[[#This Row],[Helper]],'Betcha Integrated'!A:A,'Betcha Integrated'!G:G, 0)</f>
        <v>196445.96399999989</v>
      </c>
      <c r="AD223" s="5">
        <f>raceday_22_23[[#This Row],[Export Earned]]+raceday_22_23[[#This Row],[Betcha Inc. GBR]]</f>
        <v>203112.97049999988</v>
      </c>
      <c r="AE223" s="88">
        <f>ROUND(raceday_22_23[[#This Row],[Fav. Win %]]*raceday_22_23[[#This Row],[Races]], 0)</f>
        <v>4</v>
      </c>
    </row>
    <row r="224" spans="1:31" x14ac:dyDescent="0.3">
      <c r="A224" s="8">
        <v>45776</v>
      </c>
      <c r="B224" s="3" t="s">
        <v>83</v>
      </c>
      <c r="C224" s="3" t="s">
        <v>101</v>
      </c>
      <c r="D224" s="3" t="s">
        <v>79</v>
      </c>
      <c r="E224" s="3">
        <v>8</v>
      </c>
      <c r="F224" s="3">
        <v>70</v>
      </c>
      <c r="G224" s="3">
        <v>8.8000000000000007</v>
      </c>
      <c r="H224" s="4">
        <v>0.125</v>
      </c>
      <c r="I224" s="5">
        <v>100838</v>
      </c>
      <c r="J224" s="5">
        <v>12605</v>
      </c>
      <c r="K224" s="4">
        <v>0.996</v>
      </c>
      <c r="L224" s="4">
        <v>0</v>
      </c>
      <c r="M224" s="5">
        <v>357803</v>
      </c>
      <c r="N224" s="5">
        <v>100464</v>
      </c>
      <c r="O224" s="5">
        <v>113156.3</v>
      </c>
      <c r="P224" s="119">
        <f>_xlfn.XLOOKUP(raceday_22_23[[#This Row],[Helper]],'Betcha Integrated'!A:A,'Betcha Integrated'!H:H,0)</f>
        <v>184091.56</v>
      </c>
      <c r="Q224" s="4">
        <v>0.28100000000000003</v>
      </c>
      <c r="R224" s="4">
        <v>0.88800000000000001</v>
      </c>
      <c r="S224" s="18">
        <v>3.1619999999999999</v>
      </c>
      <c r="T224" s="10">
        <v>409758</v>
      </c>
      <c r="U224" s="10">
        <v>47976</v>
      </c>
      <c r="V224" s="11">
        <v>0.11700000000000001</v>
      </c>
      <c r="W224" s="12">
        <f>IF(raceday_22_23[[#This Row],[Last Year Turnover]]=0, "No Corresponding PY Meeting", (raceday_22_23[[#This Row],[Betcha Inc. TO]]-raceday_22_23[[#This Row],[Last Year Turnover]])/raceday_22_23[[#This Row],[Last Year Turnover]])</f>
        <v>-4.2822836893971566E-2</v>
      </c>
      <c r="X224" s="3">
        <f>MONTH(raceday_22_23[[#This Row],[Raceday Date]])</f>
        <v>4</v>
      </c>
      <c r="Y22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4" s="3" t="str">
        <f>raceday_22_23[[#This Row],[Raceday Date]]&amp;raceday_22_23[[#This Row],[Club]]</f>
        <v>45776Manawatu Harness Racing Club Inc</v>
      </c>
      <c r="AA224" s="5">
        <f>0.03*raceday_22_23[[#This Row],[Export TO (AUD)]]</f>
        <v>5522.7467999999999</v>
      </c>
      <c r="AB224" s="5">
        <f>_xlfn.XLOOKUP(raceday_22_23[[#This Row],[Helper]],'Betcha Integrated'!A:A,'Betcha Integrated'!F:F, 0)</f>
        <v>392211</v>
      </c>
      <c r="AC224" s="5">
        <f>_xlfn.XLOOKUP(raceday_22_23[[#This Row],[Helper]],'Betcha Integrated'!A:A,'Betcha Integrated'!G:G, 0)</f>
        <v>111257</v>
      </c>
      <c r="AD224" s="5">
        <f>raceday_22_23[[#This Row],[Export Earned]]+raceday_22_23[[#This Row],[Betcha Inc. GBR]]</f>
        <v>116779.74679999999</v>
      </c>
      <c r="AE224" s="88">
        <f>ROUND(raceday_22_23[[#This Row],[Fav. Win %]]*raceday_22_23[[#This Row],[Races]], 0)</f>
        <v>1</v>
      </c>
    </row>
    <row r="225" spans="1:31" x14ac:dyDescent="0.3">
      <c r="A225" s="8">
        <v>45777</v>
      </c>
      <c r="B225" s="3" t="s">
        <v>96</v>
      </c>
      <c r="C225" s="3" t="s">
        <v>80</v>
      </c>
      <c r="D225" s="3" t="s">
        <v>81</v>
      </c>
      <c r="E225" s="3">
        <v>7</v>
      </c>
      <c r="F225" s="3">
        <v>61</v>
      </c>
      <c r="G225" s="3">
        <v>8.6999999999999993</v>
      </c>
      <c r="H225" s="4">
        <v>0.14299999999999999</v>
      </c>
      <c r="I225" s="5">
        <v>52780</v>
      </c>
      <c r="J225" s="5">
        <v>7540</v>
      </c>
      <c r="K225" s="4">
        <v>1.696</v>
      </c>
      <c r="L225" s="4">
        <v>0.14299999999999999</v>
      </c>
      <c r="M225" s="5">
        <v>304656</v>
      </c>
      <c r="N225" s="5">
        <v>89510</v>
      </c>
      <c r="O225" s="5">
        <v>90686.92</v>
      </c>
      <c r="P225" s="119">
        <f>_xlfn.XLOOKUP(raceday_22_23[[#This Row],[Helper]],'Betcha Integrated'!A:A,'Betcha Integrated'!H:H,0)</f>
        <v>223912.52</v>
      </c>
      <c r="Q225" s="4">
        <v>0.29399999999999998</v>
      </c>
      <c r="R225" s="4">
        <v>0.98699999999999999</v>
      </c>
      <c r="S225" s="18">
        <v>3.359</v>
      </c>
      <c r="T225" s="10">
        <v>437409</v>
      </c>
      <c r="U225" s="10">
        <v>126125</v>
      </c>
      <c r="V225" s="11">
        <v>0.28799999999999998</v>
      </c>
      <c r="W225" s="12">
        <f>IF(raceday_22_23[[#This Row],[Last Year Turnover]]=0, "No Corresponding PY Meeting", (raceday_22_23[[#This Row],[Betcha Inc. TO]]-raceday_22_23[[#This Row],[Last Year Turnover]])/raceday_22_23[[#This Row],[Last Year Turnover]])</f>
        <v>-0.24700451979726068</v>
      </c>
      <c r="X225" s="3">
        <f>MONTH(raceday_22_23[[#This Row],[Raceday Date]])</f>
        <v>4</v>
      </c>
      <c r="Y22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Q3</v>
      </c>
      <c r="Z225" s="3" t="str">
        <f>raceday_22_23[[#This Row],[Raceday Date]]&amp;raceday_22_23[[#This Row],[Club]]</f>
        <v>45777NZ Metropolitan Trotting Club Inc</v>
      </c>
      <c r="AA225" s="5">
        <f>0.03*raceday_22_23[[#This Row],[Export TO (AUD)]]</f>
        <v>6717.3755999999994</v>
      </c>
      <c r="AB225" s="5">
        <f>_xlfn.XLOOKUP(raceday_22_23[[#This Row],[Helper]],'Betcha Integrated'!A:A,'Betcha Integrated'!F:F, 0)</f>
        <v>329367</v>
      </c>
      <c r="AC225" s="5">
        <f>_xlfn.XLOOKUP(raceday_22_23[[#This Row],[Helper]],'Betcha Integrated'!A:A,'Betcha Integrated'!G:G, 0)</f>
        <v>97441</v>
      </c>
      <c r="AD225" s="5">
        <f>raceday_22_23[[#This Row],[Export Earned]]+raceday_22_23[[#This Row],[Betcha Inc. GBR]]</f>
        <v>104158.3756</v>
      </c>
      <c r="AE225" s="88">
        <f>ROUND(raceday_22_23[[#This Row],[Fav. Win %]]*raceday_22_23[[#This Row],[Races]], 0)</f>
        <v>1</v>
      </c>
    </row>
    <row r="226" spans="1:31" x14ac:dyDescent="0.3">
      <c r="A226" s="8">
        <v>45778</v>
      </c>
      <c r="B226" s="3" t="s">
        <v>74</v>
      </c>
      <c r="C226" s="3" t="s">
        <v>101</v>
      </c>
      <c r="D226" s="3" t="s">
        <v>79</v>
      </c>
      <c r="E226" s="3">
        <v>7</v>
      </c>
      <c r="F226" s="3">
        <v>66</v>
      </c>
      <c r="G226" s="3">
        <v>9.4</v>
      </c>
      <c r="H226" s="4">
        <v>0.28599999999999998</v>
      </c>
      <c r="I226" s="5">
        <v>95959</v>
      </c>
      <c r="J226" s="5">
        <v>13708</v>
      </c>
      <c r="K226" s="4">
        <v>0.36099999999999999</v>
      </c>
      <c r="L226" s="4">
        <v>0</v>
      </c>
      <c r="M226" s="5">
        <v>366614</v>
      </c>
      <c r="N226" s="5">
        <v>34658</v>
      </c>
      <c r="O226" s="5">
        <v>111276.3</v>
      </c>
      <c r="P226" s="119">
        <f>_xlfn.XLOOKUP(raceday_22_23[[#This Row],[Helper]],'Betcha Integrated'!A:A,'Betcha Integrated'!H:H,0)</f>
        <v>190504.7</v>
      </c>
      <c r="Q226" s="4">
        <v>9.5000000000000001E-2</v>
      </c>
      <c r="R226" s="4">
        <v>0.311</v>
      </c>
      <c r="S226" s="18">
        <v>3.2949999999999999</v>
      </c>
      <c r="T226" s="10">
        <v>617939</v>
      </c>
      <c r="U226" s="10">
        <v>76502</v>
      </c>
      <c r="V226" s="11">
        <v>0.124</v>
      </c>
      <c r="W226" s="12">
        <f>IF(raceday_22_23[[#This Row],[Last Year Turnover]]=0, "No Corresponding PY Meeting", (raceday_22_23[[#This Row],[Betcha Inc. TO]]-raceday_22_23[[#This Row],[Last Year Turnover]])/raceday_22_23[[#This Row],[Last Year Turnover]])</f>
        <v>-0.35630539584004245</v>
      </c>
      <c r="X226" s="3">
        <f>MONTH(raceday_22_23[[#This Row],[Raceday Date]])</f>
        <v>5</v>
      </c>
      <c r="Y22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26" s="3" t="str">
        <f>raceday_22_23[[#This Row],[Raceday Date]]&amp;raceday_22_23[[#This Row],[Club]]</f>
        <v>45778Manawatu Harness Racing Club Inc</v>
      </c>
      <c r="AA226" s="5">
        <f>0.03*raceday_22_23[[#This Row],[Export TO (AUD)]]</f>
        <v>5715.1410000000005</v>
      </c>
      <c r="AB226" s="5">
        <f>_xlfn.XLOOKUP(raceday_22_23[[#This Row],[Helper]],'Betcha Integrated'!A:A,'Betcha Integrated'!F:F, 0)</f>
        <v>397764</v>
      </c>
      <c r="AC226" s="5">
        <f>_xlfn.XLOOKUP(raceday_22_23[[#This Row],[Helper]],'Betcha Integrated'!A:A,'Betcha Integrated'!G:G, 0)</f>
        <v>29023</v>
      </c>
      <c r="AD226" s="5">
        <f>raceday_22_23[[#This Row],[Export Earned]]+raceday_22_23[[#This Row],[Betcha Inc. GBR]]</f>
        <v>34738.141000000003</v>
      </c>
      <c r="AE226" s="88">
        <f>ROUND(raceday_22_23[[#This Row],[Fav. Win %]]*raceday_22_23[[#This Row],[Races]], 0)</f>
        <v>2</v>
      </c>
    </row>
    <row r="227" spans="1:31" x14ac:dyDescent="0.3">
      <c r="A227" s="8">
        <v>45779</v>
      </c>
      <c r="B227" s="3" t="s">
        <v>77</v>
      </c>
      <c r="C227" s="3" t="s">
        <v>80</v>
      </c>
      <c r="D227" s="3" t="s">
        <v>81</v>
      </c>
      <c r="E227" s="3">
        <v>10</v>
      </c>
      <c r="F227" s="3">
        <v>94</v>
      </c>
      <c r="G227" s="3">
        <v>9.4</v>
      </c>
      <c r="H227" s="4">
        <v>0.6</v>
      </c>
      <c r="I227" s="5">
        <v>214844</v>
      </c>
      <c r="J227" s="5">
        <v>21484</v>
      </c>
      <c r="K227" s="4">
        <v>0.83699999999999997</v>
      </c>
      <c r="L227" s="4">
        <v>0.2</v>
      </c>
      <c r="M227" s="5">
        <v>791041</v>
      </c>
      <c r="N227" s="5">
        <v>179789</v>
      </c>
      <c r="O227" s="5">
        <v>252645.67</v>
      </c>
      <c r="P227" s="119">
        <f>_xlfn.XLOOKUP(raceday_22_23[[#This Row],[Helper]],'Betcha Integrated'!A:A,'Betcha Integrated'!H:H,0)</f>
        <v>310780.62</v>
      </c>
      <c r="Q227" s="4">
        <v>0.22700000000000001</v>
      </c>
      <c r="R227" s="4">
        <v>0.71199999999999997</v>
      </c>
      <c r="S227" s="18">
        <v>3.1309999999999998</v>
      </c>
      <c r="T227" s="10">
        <v>631767</v>
      </c>
      <c r="U227" s="10">
        <v>92450</v>
      </c>
      <c r="V227" s="11">
        <v>0.14599999999999999</v>
      </c>
      <c r="W227" s="12">
        <f>IF(raceday_22_23[[#This Row],[Last Year Turnover]]=0, "No Corresponding PY Meeting", (raceday_22_23[[#This Row],[Betcha Inc. TO]]-raceday_22_23[[#This Row],[Last Year Turnover]])/raceday_22_23[[#This Row],[Last Year Turnover]])</f>
        <v>0.33220316983951365</v>
      </c>
      <c r="X227" s="3">
        <f>MONTH(raceday_22_23[[#This Row],[Raceday Date]])</f>
        <v>5</v>
      </c>
      <c r="Y22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27" s="3" t="str">
        <f>raceday_22_23[[#This Row],[Raceday Date]]&amp;raceday_22_23[[#This Row],[Club]]</f>
        <v>45779NZ Metropolitan Trotting Club Inc</v>
      </c>
      <c r="AA227" s="5">
        <f>0.03*raceday_22_23[[#This Row],[Export TO (AUD)]]</f>
        <v>9323.4185999999991</v>
      </c>
      <c r="AB227" s="5">
        <f>_xlfn.XLOOKUP(raceday_22_23[[#This Row],[Helper]],'Betcha Integrated'!A:A,'Betcha Integrated'!F:F, 0)</f>
        <v>841642</v>
      </c>
      <c r="AC227" s="5">
        <f>_xlfn.XLOOKUP(raceday_22_23[[#This Row],[Helper]],'Betcha Integrated'!A:A,'Betcha Integrated'!G:G, 0)</f>
        <v>222974</v>
      </c>
      <c r="AD227" s="5">
        <f>raceday_22_23[[#This Row],[Export Earned]]+raceday_22_23[[#This Row],[Betcha Inc. GBR]]</f>
        <v>232297.4186</v>
      </c>
      <c r="AE227" s="88">
        <f>ROUND(raceday_22_23[[#This Row],[Fav. Win %]]*raceday_22_23[[#This Row],[Races]], 0)</f>
        <v>6</v>
      </c>
    </row>
    <row r="228" spans="1:31" x14ac:dyDescent="0.3">
      <c r="A228" s="8">
        <v>45779</v>
      </c>
      <c r="B228" s="3" t="s">
        <v>77</v>
      </c>
      <c r="C228" s="3" t="s">
        <v>78</v>
      </c>
      <c r="D228" s="3" t="s">
        <v>79</v>
      </c>
      <c r="E228" s="3">
        <v>11</v>
      </c>
      <c r="F228" s="3">
        <v>92</v>
      </c>
      <c r="G228" s="3">
        <v>8.4</v>
      </c>
      <c r="H228" s="4">
        <v>0.45500000000000002</v>
      </c>
      <c r="I228" s="5">
        <v>624214</v>
      </c>
      <c r="J228" s="5">
        <v>56747</v>
      </c>
      <c r="K228" s="4">
        <v>0.29599999999999999</v>
      </c>
      <c r="L228" s="4">
        <v>9.0999999999999998E-2</v>
      </c>
      <c r="M228" s="5">
        <v>875806</v>
      </c>
      <c r="N228" s="5">
        <v>184765</v>
      </c>
      <c r="O228" s="5">
        <v>650618.13</v>
      </c>
      <c r="P228" s="119">
        <f>_xlfn.XLOOKUP(raceday_22_23[[#This Row],[Helper]],'Betcha Integrated'!A:A,'Betcha Integrated'!H:H,0)</f>
        <v>354528.76</v>
      </c>
      <c r="Q228" s="4">
        <v>0.21099999999999999</v>
      </c>
      <c r="R228" s="4">
        <v>0.28399999999999997</v>
      </c>
      <c r="S228" s="18">
        <v>1.3460000000000001</v>
      </c>
      <c r="T228" s="10">
        <v>1134706</v>
      </c>
      <c r="U228" s="10">
        <v>424024</v>
      </c>
      <c r="V228" s="11">
        <v>0.374</v>
      </c>
      <c r="W228" s="12">
        <f>IF(raceday_22_23[[#This Row],[Last Year Turnover]]=0, "No Corresponding PY Meeting", (raceday_22_23[[#This Row],[Betcha Inc. TO]]-raceday_22_23[[#This Row],[Last Year Turnover]])/raceday_22_23[[#This Row],[Last Year Turnover]])</f>
        <v>-0.14296037916429455</v>
      </c>
      <c r="X228" s="3">
        <f>MONTH(raceday_22_23[[#This Row],[Raceday Date]])</f>
        <v>5</v>
      </c>
      <c r="Y22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28" s="3" t="str">
        <f>raceday_22_23[[#This Row],[Raceday Date]]&amp;raceday_22_23[[#This Row],[Club]]</f>
        <v>45779Auckland Trotting Club Inc</v>
      </c>
      <c r="AA228" s="5">
        <f>0.03*raceday_22_23[[#This Row],[Export TO (AUD)]]</f>
        <v>10635.862800000001</v>
      </c>
      <c r="AB228" s="5">
        <f>_xlfn.XLOOKUP(raceday_22_23[[#This Row],[Helper]],'Betcha Integrated'!A:A,'Betcha Integrated'!F:F, 0)</f>
        <v>972488</v>
      </c>
      <c r="AC228" s="5">
        <f>_xlfn.XLOOKUP(raceday_22_23[[#This Row],[Helper]],'Betcha Integrated'!A:A,'Betcha Integrated'!G:G, 0)</f>
        <v>189391</v>
      </c>
      <c r="AD228" s="5">
        <f>raceday_22_23[[#This Row],[Export Earned]]+raceday_22_23[[#This Row],[Betcha Inc. GBR]]</f>
        <v>200026.8628</v>
      </c>
      <c r="AE228" s="88">
        <f>ROUND(raceday_22_23[[#This Row],[Fav. Win %]]*raceday_22_23[[#This Row],[Races]], 0)</f>
        <v>5</v>
      </c>
    </row>
    <row r="229" spans="1:31" x14ac:dyDescent="0.3">
      <c r="A229" s="8">
        <v>45781</v>
      </c>
      <c r="B229" s="3" t="s">
        <v>82</v>
      </c>
      <c r="C229" s="3" t="s">
        <v>113</v>
      </c>
      <c r="D229" s="3" t="s">
        <v>76</v>
      </c>
      <c r="E229" s="3">
        <v>9</v>
      </c>
      <c r="F229" s="3">
        <v>86</v>
      </c>
      <c r="G229" s="3">
        <v>9.6</v>
      </c>
      <c r="H229" s="4">
        <v>0.33300000000000002</v>
      </c>
      <c r="I229" s="5">
        <v>102450</v>
      </c>
      <c r="J229" s="5">
        <v>11383</v>
      </c>
      <c r="K229" s="4">
        <v>1.179</v>
      </c>
      <c r="L229" s="4">
        <v>0.222</v>
      </c>
      <c r="M229" s="5">
        <v>460220</v>
      </c>
      <c r="N229" s="5">
        <v>120815</v>
      </c>
      <c r="O229" s="5">
        <v>116276.24</v>
      </c>
      <c r="P229" s="119">
        <f>_xlfn.XLOOKUP(raceday_22_23[[#This Row],[Helper]],'Betcha Integrated'!A:A,'Betcha Integrated'!H:H,0)</f>
        <v>189662.49</v>
      </c>
      <c r="Q229" s="4">
        <v>0.26300000000000001</v>
      </c>
      <c r="R229" s="4">
        <v>1.0389999999999999</v>
      </c>
      <c r="S229" s="18">
        <v>3.9580000000000002</v>
      </c>
      <c r="T229" s="10">
        <v>345900</v>
      </c>
      <c r="U229" s="10">
        <v>103243</v>
      </c>
      <c r="V229" s="11">
        <v>0.29799999999999999</v>
      </c>
      <c r="W229" s="12">
        <f>IF(raceday_22_23[[#This Row],[Last Year Turnover]]=0, "No Corresponding PY Meeting", (raceday_22_23[[#This Row],[Betcha Inc. TO]]-raceday_22_23[[#This Row],[Last Year Turnover]])/raceday_22_23[[#This Row],[Last Year Turnover]])</f>
        <v>0.43214512864989879</v>
      </c>
      <c r="X229" s="3">
        <f>MONTH(raceday_22_23[[#This Row],[Raceday Date]])</f>
        <v>5</v>
      </c>
      <c r="Y22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29" s="3" t="str">
        <f>raceday_22_23[[#This Row],[Raceday Date]]&amp;raceday_22_23[[#This Row],[Club]]</f>
        <v>45781Riverton Trotting Club Inc</v>
      </c>
      <c r="AA229" s="5">
        <f>0.03*raceday_22_23[[#This Row],[Export TO (AUD)]]</f>
        <v>5689.8746999999994</v>
      </c>
      <c r="AB229" s="5">
        <f>_xlfn.XLOOKUP(raceday_22_23[[#This Row],[Helper]],'Betcha Integrated'!A:A,'Betcha Integrated'!F:F, 0)</f>
        <v>495379</v>
      </c>
      <c r="AC229" s="5">
        <f>_xlfn.XLOOKUP(raceday_22_23[[#This Row],[Helper]],'Betcha Integrated'!A:A,'Betcha Integrated'!G:G, 0)</f>
        <v>123012</v>
      </c>
      <c r="AD229" s="5">
        <f>raceday_22_23[[#This Row],[Export Earned]]+raceday_22_23[[#This Row],[Betcha Inc. GBR]]</f>
        <v>128701.8747</v>
      </c>
      <c r="AE229" s="88">
        <f>ROUND(raceday_22_23[[#This Row],[Fav. Win %]]*raceday_22_23[[#This Row],[Races]], 0)</f>
        <v>3</v>
      </c>
    </row>
    <row r="230" spans="1:31" x14ac:dyDescent="0.3">
      <c r="A230" s="8">
        <v>45781</v>
      </c>
      <c r="B230" s="3" t="s">
        <v>82</v>
      </c>
      <c r="C230" s="3" t="s">
        <v>89</v>
      </c>
      <c r="D230" s="3" t="s">
        <v>81</v>
      </c>
      <c r="E230" s="3">
        <v>10</v>
      </c>
      <c r="F230" s="3">
        <v>105</v>
      </c>
      <c r="G230" s="3">
        <v>10.5</v>
      </c>
      <c r="H230" s="4">
        <v>0.3</v>
      </c>
      <c r="I230" s="5">
        <v>128300</v>
      </c>
      <c r="J230" s="5">
        <v>12830</v>
      </c>
      <c r="K230" s="4">
        <v>1.3029999999999999</v>
      </c>
      <c r="L230" s="4">
        <v>0.2</v>
      </c>
      <c r="M230" s="5">
        <v>726286</v>
      </c>
      <c r="N230" s="5">
        <v>167216</v>
      </c>
      <c r="O230" s="5">
        <v>161493.25</v>
      </c>
      <c r="P230" s="119">
        <f>_xlfn.XLOOKUP(raceday_22_23[[#This Row],[Helper]],'Betcha Integrated'!A:A,'Betcha Integrated'!H:H,0)</f>
        <v>156918.68</v>
      </c>
      <c r="Q230" s="4">
        <v>0.23</v>
      </c>
      <c r="R230" s="4">
        <v>1.0349999999999999</v>
      </c>
      <c r="S230" s="18">
        <v>4.4969999999999999</v>
      </c>
      <c r="T230" s="10">
        <v>681161</v>
      </c>
      <c r="U230" s="10">
        <v>130350</v>
      </c>
      <c r="V230" s="11">
        <v>0.191</v>
      </c>
      <c r="W230" s="12">
        <f>IF(raceday_22_23[[#This Row],[Last Year Turnover]]=0, "No Corresponding PY Meeting", (raceday_22_23[[#This Row],[Betcha Inc. TO]]-raceday_22_23[[#This Row],[Last Year Turnover]])/raceday_22_23[[#This Row],[Last Year Turnover]])</f>
        <v>0.13925929405823292</v>
      </c>
      <c r="X230" s="3">
        <f>MONTH(raceday_22_23[[#This Row],[Raceday Date]])</f>
        <v>5</v>
      </c>
      <c r="Y23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30" s="3" t="str">
        <f>raceday_22_23[[#This Row],[Raceday Date]]&amp;raceday_22_23[[#This Row],[Club]]</f>
        <v>45781Rangiora Harness Racing Club Inc</v>
      </c>
      <c r="AA230" s="5">
        <f>0.03*raceday_22_23[[#This Row],[Export TO (AUD)]]</f>
        <v>4707.5603999999994</v>
      </c>
      <c r="AB230" s="5">
        <f>_xlfn.XLOOKUP(raceday_22_23[[#This Row],[Helper]],'Betcha Integrated'!A:A,'Betcha Integrated'!F:F, 0)</f>
        <v>776019</v>
      </c>
      <c r="AC230" s="5">
        <f>_xlfn.XLOOKUP(raceday_22_23[[#This Row],[Helper]],'Betcha Integrated'!A:A,'Betcha Integrated'!G:G, 0)</f>
        <v>176542</v>
      </c>
      <c r="AD230" s="5">
        <f>raceday_22_23[[#This Row],[Export Earned]]+raceday_22_23[[#This Row],[Betcha Inc. GBR]]</f>
        <v>181249.56039999999</v>
      </c>
      <c r="AE230" s="88">
        <f>ROUND(raceday_22_23[[#This Row],[Fav. Win %]]*raceday_22_23[[#This Row],[Races]], 0)</f>
        <v>3</v>
      </c>
    </row>
    <row r="231" spans="1:31" x14ac:dyDescent="0.3">
      <c r="A231" s="8">
        <v>45783</v>
      </c>
      <c r="B231" s="3" t="s">
        <v>83</v>
      </c>
      <c r="C231" s="3" t="s">
        <v>84</v>
      </c>
      <c r="D231" s="3" t="s">
        <v>79</v>
      </c>
      <c r="E231" s="3">
        <v>8</v>
      </c>
      <c r="F231" s="3">
        <v>63</v>
      </c>
      <c r="G231" s="3">
        <v>7.9</v>
      </c>
      <c r="H231" s="4">
        <v>0</v>
      </c>
      <c r="I231" s="5">
        <v>59380</v>
      </c>
      <c r="J231" s="5">
        <v>7422</v>
      </c>
      <c r="K231" s="4">
        <v>0.90800000000000003</v>
      </c>
      <c r="L231" s="4">
        <v>0</v>
      </c>
      <c r="M231" s="5">
        <v>305631</v>
      </c>
      <c r="N231" s="5">
        <v>53944</v>
      </c>
      <c r="O231" s="5">
        <v>84671.24</v>
      </c>
      <c r="P231" s="119">
        <f>_xlfn.XLOOKUP(raceday_22_23[[#This Row],[Helper]],'Betcha Integrated'!A:A,'Betcha Integrated'!H:H,0)</f>
        <v>181630.03</v>
      </c>
      <c r="Q231" s="4">
        <v>0.17699999999999999</v>
      </c>
      <c r="R231" s="4">
        <v>0.63700000000000001</v>
      </c>
      <c r="S231" s="18">
        <v>3.61</v>
      </c>
      <c r="T231" s="10">
        <v>0</v>
      </c>
      <c r="U231" s="10">
        <v>0</v>
      </c>
      <c r="V231" s="11">
        <v>0</v>
      </c>
      <c r="W231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31" s="3">
        <f>MONTH(raceday_22_23[[#This Row],[Raceday Date]])</f>
        <v>5</v>
      </c>
      <c r="Y23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31" s="3" t="str">
        <f>raceday_22_23[[#This Row],[Raceday Date]]&amp;raceday_22_23[[#This Row],[Club]]</f>
        <v>45783Waikato Bay of Plenty Harness Inc</v>
      </c>
      <c r="AA231" s="5">
        <f>0.03*raceday_22_23[[#This Row],[Export TO (AUD)]]</f>
        <v>5448.9008999999996</v>
      </c>
      <c r="AB231" s="5">
        <f>_xlfn.XLOOKUP(raceday_22_23[[#This Row],[Helper]],'Betcha Integrated'!A:A,'Betcha Integrated'!F:F, 0)</f>
        <v>324948</v>
      </c>
      <c r="AC231" s="5">
        <f>_xlfn.XLOOKUP(raceday_22_23[[#This Row],[Helper]],'Betcha Integrated'!A:A,'Betcha Integrated'!G:G, 0)</f>
        <v>62442</v>
      </c>
      <c r="AD231" s="5">
        <f>raceday_22_23[[#This Row],[Export Earned]]+raceday_22_23[[#This Row],[Betcha Inc. GBR]]</f>
        <v>67890.900899999993</v>
      </c>
      <c r="AE231" s="88">
        <f>ROUND(raceday_22_23[[#This Row],[Fav. Win %]]*raceday_22_23[[#This Row],[Races]], 0)</f>
        <v>0</v>
      </c>
    </row>
    <row r="232" spans="1:31" x14ac:dyDescent="0.3">
      <c r="A232" s="8">
        <v>45784</v>
      </c>
      <c r="B232" s="3" t="s">
        <v>96</v>
      </c>
      <c r="C232" s="3" t="s">
        <v>80</v>
      </c>
      <c r="D232" s="3" t="s">
        <v>81</v>
      </c>
      <c r="E232" s="3">
        <v>6</v>
      </c>
      <c r="F232" s="3">
        <v>59</v>
      </c>
      <c r="G232" s="3">
        <v>9.8000000000000007</v>
      </c>
      <c r="H232" s="4">
        <v>0.33300000000000002</v>
      </c>
      <c r="I232" s="5">
        <v>50680</v>
      </c>
      <c r="J232" s="5">
        <v>8447</v>
      </c>
      <c r="K232" s="4">
        <v>1.5409999999999999</v>
      </c>
      <c r="L232" s="4">
        <v>0.16700000000000001</v>
      </c>
      <c r="M232" s="5">
        <v>347294</v>
      </c>
      <c r="N232" s="5">
        <v>78075</v>
      </c>
      <c r="O232" s="5">
        <v>88376.92</v>
      </c>
      <c r="P232" s="119">
        <f>_xlfn.XLOOKUP(raceday_22_23[[#This Row],[Helper]],'Betcha Integrated'!A:A,'Betcha Integrated'!H:H,0)</f>
        <v>150332.18</v>
      </c>
      <c r="Q232" s="4">
        <v>0.22500000000000001</v>
      </c>
      <c r="R232" s="4">
        <v>0.88300000000000001</v>
      </c>
      <c r="S232" s="18">
        <v>3.93</v>
      </c>
      <c r="T232" s="10">
        <v>377700</v>
      </c>
      <c r="U232" s="10">
        <v>72338</v>
      </c>
      <c r="V232" s="11">
        <v>0.192</v>
      </c>
      <c r="W232" s="12">
        <f>IF(raceday_22_23[[#This Row],[Last Year Turnover]]=0, "No Corresponding PY Meeting", (raceday_22_23[[#This Row],[Betcha Inc. TO]]-raceday_22_23[[#This Row],[Last Year Turnover]])/raceday_22_23[[#This Row],[Last Year Turnover]])</f>
        <v>-2.5297855440826054E-2</v>
      </c>
      <c r="X232" s="3">
        <f>MONTH(raceday_22_23[[#This Row],[Raceday Date]])</f>
        <v>5</v>
      </c>
      <c r="Y23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32" s="3" t="str">
        <f>raceday_22_23[[#This Row],[Raceday Date]]&amp;raceday_22_23[[#This Row],[Club]]</f>
        <v>45784NZ Metropolitan Trotting Club Inc</v>
      </c>
      <c r="AA232" s="5">
        <f>0.03*raceday_22_23[[#This Row],[Export TO (AUD)]]</f>
        <v>4509.9654</v>
      </c>
      <c r="AB232" s="5">
        <f>_xlfn.XLOOKUP(raceday_22_23[[#This Row],[Helper]],'Betcha Integrated'!A:A,'Betcha Integrated'!F:F, 0)</f>
        <v>368145</v>
      </c>
      <c r="AC232" s="5">
        <f>_xlfn.XLOOKUP(raceday_22_23[[#This Row],[Helper]],'Betcha Integrated'!A:A,'Betcha Integrated'!G:G, 0)</f>
        <v>83805</v>
      </c>
      <c r="AD232" s="5">
        <f>raceday_22_23[[#This Row],[Export Earned]]+raceday_22_23[[#This Row],[Betcha Inc. GBR]]</f>
        <v>88314.965400000001</v>
      </c>
      <c r="AE232" s="88">
        <f>ROUND(raceday_22_23[[#This Row],[Fav. Win %]]*raceday_22_23[[#This Row],[Races]], 0)</f>
        <v>2</v>
      </c>
    </row>
    <row r="233" spans="1:31" x14ac:dyDescent="0.3">
      <c r="A233" s="8">
        <v>45785</v>
      </c>
      <c r="B233" s="3" t="s">
        <v>74</v>
      </c>
      <c r="C233" s="3" t="s">
        <v>75</v>
      </c>
      <c r="D233" s="3" t="s">
        <v>76</v>
      </c>
      <c r="E233" s="3">
        <v>7</v>
      </c>
      <c r="F233" s="3">
        <v>63</v>
      </c>
      <c r="G233" s="3">
        <v>9</v>
      </c>
      <c r="H233" s="4">
        <v>0.57099999999999995</v>
      </c>
      <c r="I233" s="5">
        <v>80503</v>
      </c>
      <c r="J233" s="5">
        <v>11500</v>
      </c>
      <c r="K233" s="4">
        <v>0.56299999999999994</v>
      </c>
      <c r="L233" s="4">
        <v>0</v>
      </c>
      <c r="M233" s="5">
        <v>306969</v>
      </c>
      <c r="N233" s="5">
        <v>45362</v>
      </c>
      <c r="O233" s="5">
        <v>102498.34</v>
      </c>
      <c r="P233" s="119">
        <f>_xlfn.XLOOKUP(raceday_22_23[[#This Row],[Helper]],'Betcha Integrated'!A:A,'Betcha Integrated'!H:H,0)</f>
        <v>184088.44</v>
      </c>
      <c r="Q233" s="4">
        <v>0.14799999999999999</v>
      </c>
      <c r="R233" s="4">
        <v>0.443</v>
      </c>
      <c r="S233" s="18">
        <v>2.9950000000000001</v>
      </c>
      <c r="T233" s="10">
        <v>414968</v>
      </c>
      <c r="U233" s="10">
        <v>95486</v>
      </c>
      <c r="V233" s="11">
        <v>0.23</v>
      </c>
      <c r="W233" s="12">
        <f>IF(raceday_22_23[[#This Row],[Last Year Turnover]]=0, "No Corresponding PY Meeting", (raceday_22_23[[#This Row],[Betcha Inc. TO]]-raceday_22_23[[#This Row],[Last Year Turnover]])/raceday_22_23[[#This Row],[Last Year Turnover]])</f>
        <v>-0.21162354687590368</v>
      </c>
      <c r="X233" s="3">
        <f>MONTH(raceday_22_23[[#This Row],[Raceday Date]])</f>
        <v>5</v>
      </c>
      <c r="Y23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33" s="3" t="str">
        <f>raceday_22_23[[#This Row],[Raceday Date]]&amp;raceday_22_23[[#This Row],[Club]]</f>
        <v>45785Winton Harness Racing Club Inc</v>
      </c>
      <c r="AA233" s="5">
        <f>0.03*raceday_22_23[[#This Row],[Export TO (AUD)]]</f>
        <v>5522.6531999999997</v>
      </c>
      <c r="AB233" s="5">
        <f>_xlfn.XLOOKUP(raceday_22_23[[#This Row],[Helper]],'Betcha Integrated'!A:A,'Betcha Integrated'!F:F, 0)</f>
        <v>327151</v>
      </c>
      <c r="AC233" s="5">
        <f>_xlfn.XLOOKUP(raceday_22_23[[#This Row],[Helper]],'Betcha Integrated'!A:A,'Betcha Integrated'!G:G, 0)</f>
        <v>47532</v>
      </c>
      <c r="AD233" s="5">
        <f>raceday_22_23[[#This Row],[Export Earned]]+raceday_22_23[[#This Row],[Betcha Inc. GBR]]</f>
        <v>53054.653200000001</v>
      </c>
      <c r="AE233" s="88">
        <f>ROUND(raceday_22_23[[#This Row],[Fav. Win %]]*raceday_22_23[[#This Row],[Races]], 0)</f>
        <v>4</v>
      </c>
    </row>
    <row r="234" spans="1:31" x14ac:dyDescent="0.3">
      <c r="A234" s="8">
        <v>45786</v>
      </c>
      <c r="B234" s="3" t="s">
        <v>77</v>
      </c>
      <c r="C234" s="3" t="s">
        <v>78</v>
      </c>
      <c r="D234" s="3" t="s">
        <v>79</v>
      </c>
      <c r="E234" s="3">
        <v>1</v>
      </c>
      <c r="F234" s="3">
        <v>8</v>
      </c>
      <c r="G234" s="3">
        <v>8</v>
      </c>
      <c r="H234" s="4">
        <v>0</v>
      </c>
      <c r="I234" s="5">
        <v>23250</v>
      </c>
      <c r="J234" s="5">
        <v>23250</v>
      </c>
      <c r="K234" s="4">
        <v>0.999</v>
      </c>
      <c r="L234" s="4">
        <v>0</v>
      </c>
      <c r="M234" s="5">
        <v>73150</v>
      </c>
      <c r="N234" s="5">
        <v>23232</v>
      </c>
      <c r="O234" s="5">
        <v>39071.82</v>
      </c>
      <c r="P234" s="119">
        <f>_xlfn.XLOOKUP(raceday_22_23[[#This Row],[Helper]],'Betcha Integrated'!A:A,'Betcha Integrated'!H:H,0)</f>
        <v>27553.81</v>
      </c>
      <c r="Q234" s="4">
        <v>0.318</v>
      </c>
      <c r="R234" s="4">
        <v>0.59499999999999997</v>
      </c>
      <c r="S234" s="18">
        <v>1.8720000000000001</v>
      </c>
      <c r="T234" s="10">
        <v>0</v>
      </c>
      <c r="U234" s="10">
        <v>0</v>
      </c>
      <c r="V234" s="11">
        <v>0</v>
      </c>
      <c r="W234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34" s="3">
        <f>MONTH(raceday_22_23[[#This Row],[Raceday Date]])</f>
        <v>5</v>
      </c>
      <c r="Y23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34" s="3" t="str">
        <f>raceday_22_23[[#This Row],[Raceday Date]]&amp;raceday_22_23[[#This Row],[Club]]</f>
        <v>45786Auckland Trotting Club Inc</v>
      </c>
      <c r="AA234" s="5">
        <f>0.03*raceday_22_23[[#This Row],[Export TO (AUD)]]</f>
        <v>826.61429999999996</v>
      </c>
      <c r="AB234" s="5">
        <f>_xlfn.XLOOKUP(raceday_22_23[[#This Row],[Helper]],'Betcha Integrated'!A:A,'Betcha Integrated'!F:F, 0)</f>
        <v>133498</v>
      </c>
      <c r="AC234" s="5">
        <f>_xlfn.XLOOKUP(raceday_22_23[[#This Row],[Helper]],'Betcha Integrated'!A:A,'Betcha Integrated'!G:G, 0)</f>
        <v>58119</v>
      </c>
      <c r="AD234" s="5">
        <f>raceday_22_23[[#This Row],[Export Earned]]+raceday_22_23[[#This Row],[Betcha Inc. GBR]]</f>
        <v>58945.614300000001</v>
      </c>
      <c r="AE234" s="88">
        <f>ROUND(raceday_22_23[[#This Row],[Fav. Win %]]*raceday_22_23[[#This Row],[Races]], 0)</f>
        <v>0</v>
      </c>
    </row>
    <row r="235" spans="1:31" x14ac:dyDescent="0.3">
      <c r="A235" s="8">
        <v>45786</v>
      </c>
      <c r="B235" s="3" t="s">
        <v>77</v>
      </c>
      <c r="C235" s="3" t="s">
        <v>80</v>
      </c>
      <c r="D235" s="3" t="s">
        <v>81</v>
      </c>
      <c r="E235" s="3">
        <v>9</v>
      </c>
      <c r="F235" s="3">
        <v>90</v>
      </c>
      <c r="G235" s="3">
        <v>10</v>
      </c>
      <c r="H235" s="4">
        <v>0.33300000000000002</v>
      </c>
      <c r="I235" s="5">
        <v>233335</v>
      </c>
      <c r="J235" s="5">
        <v>25926</v>
      </c>
      <c r="K235" s="4">
        <v>1.048</v>
      </c>
      <c r="L235" s="4">
        <v>0.111</v>
      </c>
      <c r="M235" s="5">
        <v>888668</v>
      </c>
      <c r="N235" s="5">
        <v>244527</v>
      </c>
      <c r="O235" s="5">
        <v>271136.92</v>
      </c>
      <c r="P235" s="119">
        <f>_xlfn.XLOOKUP(raceday_22_23[[#This Row],[Helper]],'Betcha Integrated'!A:A,'Betcha Integrated'!H:H,0)</f>
        <v>262030.82</v>
      </c>
      <c r="Q235" s="4">
        <v>0.27500000000000002</v>
      </c>
      <c r="R235" s="4">
        <v>0.90200000000000002</v>
      </c>
      <c r="S235" s="18">
        <v>3.278</v>
      </c>
      <c r="T235" s="10">
        <v>1130100</v>
      </c>
      <c r="U235" s="10">
        <v>240184</v>
      </c>
      <c r="V235" s="11">
        <v>0.21299999999999999</v>
      </c>
      <c r="W235" s="12">
        <f>IF(raceday_22_23[[#This Row],[Last Year Turnover]]=0, "No Corresponding PY Meeting", (raceday_22_23[[#This Row],[Betcha Inc. TO]]-raceday_22_23[[#This Row],[Last Year Turnover]])/raceday_22_23[[#This Row],[Last Year Turnover]])</f>
        <v>-0.16023803203256348</v>
      </c>
      <c r="X235" s="3">
        <f>MONTH(raceday_22_23[[#This Row],[Raceday Date]])</f>
        <v>5</v>
      </c>
      <c r="Y23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35" s="3" t="str">
        <f>raceday_22_23[[#This Row],[Raceday Date]]&amp;raceday_22_23[[#This Row],[Club]]</f>
        <v>45786NZ Metropolitan Trotting Club Inc</v>
      </c>
      <c r="AA235" s="5">
        <f>0.03*raceday_22_23[[#This Row],[Export TO (AUD)]]</f>
        <v>7860.9246000000003</v>
      </c>
      <c r="AB235" s="5">
        <f>_xlfn.XLOOKUP(raceday_22_23[[#This Row],[Helper]],'Betcha Integrated'!A:A,'Betcha Integrated'!F:F, 0)</f>
        <v>949015</v>
      </c>
      <c r="AC235" s="5">
        <f>_xlfn.XLOOKUP(raceday_22_23[[#This Row],[Helper]],'Betcha Integrated'!A:A,'Betcha Integrated'!G:G, 0)</f>
        <v>258546</v>
      </c>
      <c r="AD235" s="5">
        <f>raceday_22_23[[#This Row],[Export Earned]]+raceday_22_23[[#This Row],[Betcha Inc. GBR]]</f>
        <v>266406.92460000003</v>
      </c>
      <c r="AE235" s="88">
        <f>ROUND(raceday_22_23[[#This Row],[Fav. Win %]]*raceday_22_23[[#This Row],[Races]], 0)</f>
        <v>3</v>
      </c>
    </row>
    <row r="236" spans="1:31" x14ac:dyDescent="0.3">
      <c r="A236" s="8">
        <v>45787</v>
      </c>
      <c r="B236" s="3" t="s">
        <v>93</v>
      </c>
      <c r="C236" s="3" t="s">
        <v>78</v>
      </c>
      <c r="D236" s="3" t="s">
        <v>79</v>
      </c>
      <c r="E236" s="3">
        <v>8</v>
      </c>
      <c r="F236" s="3">
        <v>77</v>
      </c>
      <c r="G236" s="3">
        <v>9.6</v>
      </c>
      <c r="H236" s="4">
        <v>0.25</v>
      </c>
      <c r="I236" s="5">
        <v>461086</v>
      </c>
      <c r="J236" s="5">
        <v>57636</v>
      </c>
      <c r="K236" s="4">
        <v>0.31900000000000001</v>
      </c>
      <c r="L236" s="4">
        <v>0.5</v>
      </c>
      <c r="M236" s="5">
        <v>546445</v>
      </c>
      <c r="N236" s="5">
        <v>146993</v>
      </c>
      <c r="O236" s="5">
        <v>487388.13</v>
      </c>
      <c r="P236" s="119">
        <f>_xlfn.XLOOKUP(raceday_22_23[[#This Row],[Helper]],'Betcha Integrated'!A:A,'Betcha Integrated'!H:H,0)</f>
        <v>238919.92</v>
      </c>
      <c r="Q236" s="4">
        <v>0.26900000000000002</v>
      </c>
      <c r="R236" s="4">
        <v>0.30199999999999999</v>
      </c>
      <c r="S236" s="18">
        <v>1.121</v>
      </c>
      <c r="T236" s="10">
        <v>0</v>
      </c>
      <c r="U236" s="10">
        <v>0</v>
      </c>
      <c r="V236" s="11">
        <v>0</v>
      </c>
      <c r="W23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36" s="3">
        <f>MONTH(raceday_22_23[[#This Row],[Raceday Date]])</f>
        <v>5</v>
      </c>
      <c r="Y23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36" s="3" t="str">
        <f>raceday_22_23[[#This Row],[Raceday Date]]&amp;raceday_22_23[[#This Row],[Club]]</f>
        <v>45787Auckland Trotting Club Inc</v>
      </c>
      <c r="AA236" s="5">
        <f>0.03*raceday_22_23[[#This Row],[Export TO (AUD)]]</f>
        <v>7167.5976000000001</v>
      </c>
      <c r="AB236" s="5">
        <f>_xlfn.XLOOKUP(raceday_22_23[[#This Row],[Helper]],'Betcha Integrated'!A:A,'Betcha Integrated'!F:F, 0)</f>
        <v>583617</v>
      </c>
      <c r="AC236" s="5">
        <f>_xlfn.XLOOKUP(raceday_22_23[[#This Row],[Helper]],'Betcha Integrated'!A:A,'Betcha Integrated'!G:G, 0)</f>
        <v>155918</v>
      </c>
      <c r="AD236" s="5">
        <f>raceday_22_23[[#This Row],[Export Earned]]+raceday_22_23[[#This Row],[Betcha Inc. GBR]]</f>
        <v>163085.59760000001</v>
      </c>
      <c r="AE236" s="88">
        <f>ROUND(raceday_22_23[[#This Row],[Fav. Win %]]*raceday_22_23[[#This Row],[Races]], 0)</f>
        <v>2</v>
      </c>
    </row>
    <row r="237" spans="1:31" x14ac:dyDescent="0.3">
      <c r="A237" s="8">
        <v>45788</v>
      </c>
      <c r="B237" s="3" t="s">
        <v>82</v>
      </c>
      <c r="C237" s="3" t="s">
        <v>86</v>
      </c>
      <c r="D237" s="3" t="s">
        <v>81</v>
      </c>
      <c r="E237" s="3">
        <v>10</v>
      </c>
      <c r="F237" s="3">
        <v>95</v>
      </c>
      <c r="G237" s="3">
        <v>9.5</v>
      </c>
      <c r="H237" s="4">
        <v>0.4</v>
      </c>
      <c r="I237" s="5">
        <v>110941</v>
      </c>
      <c r="J237" s="5">
        <v>11094</v>
      </c>
      <c r="K237" s="4">
        <v>0.93899999999999995</v>
      </c>
      <c r="L237" s="4">
        <v>0.1</v>
      </c>
      <c r="M237" s="5">
        <v>615990</v>
      </c>
      <c r="N237" s="5">
        <v>104184</v>
      </c>
      <c r="O237" s="5">
        <v>140732.74</v>
      </c>
      <c r="P237" s="119">
        <f>_xlfn.XLOOKUP(raceday_22_23[[#This Row],[Helper]],'Betcha Integrated'!A:A,'Betcha Integrated'!H:H,0)</f>
        <v>146989.93</v>
      </c>
      <c r="Q237" s="4">
        <v>0.16900000000000001</v>
      </c>
      <c r="R237" s="4">
        <v>0.74</v>
      </c>
      <c r="S237" s="18">
        <v>4.3769999999999998</v>
      </c>
      <c r="T237" s="10">
        <v>707967</v>
      </c>
      <c r="U237" s="10">
        <v>86157</v>
      </c>
      <c r="V237" s="11">
        <v>0.122</v>
      </c>
      <c r="W237" s="12">
        <f>IF(raceday_22_23[[#This Row],[Last Year Turnover]]=0, "No Corresponding PY Meeting", (raceday_22_23[[#This Row],[Betcha Inc. TO]]-raceday_22_23[[#This Row],[Last Year Turnover]])/raceday_22_23[[#This Row],[Last Year Turnover]])</f>
        <v>-7.8670333504245252E-2</v>
      </c>
      <c r="X237" s="3">
        <f>MONTH(raceday_22_23[[#This Row],[Raceday Date]])</f>
        <v>5</v>
      </c>
      <c r="Y23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37" s="3" t="str">
        <f>raceday_22_23[[#This Row],[Raceday Date]]&amp;raceday_22_23[[#This Row],[Club]]</f>
        <v>45788Ashburton Trotting Club Inc</v>
      </c>
      <c r="AA237" s="5">
        <f>0.03*raceday_22_23[[#This Row],[Export TO (AUD)]]</f>
        <v>4409.6978999999992</v>
      </c>
      <c r="AB237" s="5">
        <f>_xlfn.XLOOKUP(raceday_22_23[[#This Row],[Helper]],'Betcha Integrated'!A:A,'Betcha Integrated'!F:F, 0)</f>
        <v>652271</v>
      </c>
      <c r="AC237" s="5">
        <f>_xlfn.XLOOKUP(raceday_22_23[[#This Row],[Helper]],'Betcha Integrated'!A:A,'Betcha Integrated'!G:G, 0)</f>
        <v>113522</v>
      </c>
      <c r="AD237" s="5">
        <f>raceday_22_23[[#This Row],[Export Earned]]+raceday_22_23[[#This Row],[Betcha Inc. GBR]]</f>
        <v>117931.6979</v>
      </c>
      <c r="AE237" s="88">
        <f>ROUND(raceday_22_23[[#This Row],[Fav. Win %]]*raceday_22_23[[#This Row],[Races]], 0)</f>
        <v>4</v>
      </c>
    </row>
    <row r="238" spans="1:31" x14ac:dyDescent="0.3">
      <c r="A238" s="8">
        <v>45791</v>
      </c>
      <c r="B238" s="3" t="s">
        <v>96</v>
      </c>
      <c r="C238" s="3" t="s">
        <v>80</v>
      </c>
      <c r="D238" s="3" t="s">
        <v>81</v>
      </c>
      <c r="E238" s="3">
        <v>7</v>
      </c>
      <c r="F238" s="3">
        <v>54</v>
      </c>
      <c r="G238" s="3">
        <v>7.7</v>
      </c>
      <c r="H238" s="4">
        <v>0.14299999999999999</v>
      </c>
      <c r="I238" s="5">
        <v>57345</v>
      </c>
      <c r="J238" s="5">
        <v>8192</v>
      </c>
      <c r="K238" s="4">
        <v>1.4710000000000001</v>
      </c>
      <c r="L238" s="4">
        <v>0</v>
      </c>
      <c r="M238" s="5">
        <v>280530</v>
      </c>
      <c r="N238" s="5">
        <v>84327</v>
      </c>
      <c r="O238" s="5">
        <v>95041.919999999998</v>
      </c>
      <c r="P238" s="119">
        <f>_xlfn.XLOOKUP(raceday_22_23[[#This Row],[Helper]],'Betcha Integrated'!A:A,'Betcha Integrated'!H:H,0)</f>
        <v>182323.12</v>
      </c>
      <c r="Q238" s="4">
        <v>0.30099999999999999</v>
      </c>
      <c r="R238" s="4">
        <v>0.88700000000000001</v>
      </c>
      <c r="S238" s="18">
        <v>2.952</v>
      </c>
      <c r="T238" s="10">
        <v>409808</v>
      </c>
      <c r="U238" s="10">
        <v>-111999</v>
      </c>
      <c r="V238" s="11">
        <v>-0.27300000000000002</v>
      </c>
      <c r="W238" s="12">
        <f>IF(raceday_22_23[[#This Row],[Last Year Turnover]]=0, "No Corresponding PY Meeting", (raceday_22_23[[#This Row],[Betcha Inc. TO]]-raceday_22_23[[#This Row],[Last Year Turnover]])/raceday_22_23[[#This Row],[Last Year Turnover]])</f>
        <v>-0.27206399094209971</v>
      </c>
      <c r="X238" s="3">
        <f>MONTH(raceday_22_23[[#This Row],[Raceday Date]])</f>
        <v>5</v>
      </c>
      <c r="Y23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38" s="3" t="str">
        <f>raceday_22_23[[#This Row],[Raceday Date]]&amp;raceday_22_23[[#This Row],[Club]]</f>
        <v>45791NZ Metropolitan Trotting Club Inc</v>
      </c>
      <c r="AA238" s="5">
        <f>0.03*raceday_22_23[[#This Row],[Export TO (AUD)]]</f>
        <v>5469.6935999999996</v>
      </c>
      <c r="AB238" s="5">
        <f>_xlfn.XLOOKUP(raceday_22_23[[#This Row],[Helper]],'Betcha Integrated'!A:A,'Betcha Integrated'!F:F, 0)</f>
        <v>298314</v>
      </c>
      <c r="AC238" s="5">
        <f>_xlfn.XLOOKUP(raceday_22_23[[#This Row],[Helper]],'Betcha Integrated'!A:A,'Betcha Integrated'!G:G, 0)</f>
        <v>91717</v>
      </c>
      <c r="AD238" s="5">
        <f>raceday_22_23[[#This Row],[Export Earned]]+raceday_22_23[[#This Row],[Betcha Inc. GBR]]</f>
        <v>97186.693599999999</v>
      </c>
      <c r="AE238" s="88">
        <f>ROUND(raceday_22_23[[#This Row],[Fav. Win %]]*raceday_22_23[[#This Row],[Races]], 0)</f>
        <v>1</v>
      </c>
    </row>
    <row r="239" spans="1:31" x14ac:dyDescent="0.3">
      <c r="A239" s="8">
        <v>45792</v>
      </c>
      <c r="B239" s="3" t="s">
        <v>74</v>
      </c>
      <c r="C239" s="3" t="s">
        <v>84</v>
      </c>
      <c r="D239" s="3" t="s">
        <v>79</v>
      </c>
      <c r="E239" s="3">
        <v>8</v>
      </c>
      <c r="F239" s="3">
        <v>70</v>
      </c>
      <c r="G239" s="3">
        <v>8.8000000000000007</v>
      </c>
      <c r="H239" s="4">
        <v>0.125</v>
      </c>
      <c r="I239" s="5">
        <v>79178</v>
      </c>
      <c r="J239" s="5">
        <v>9897</v>
      </c>
      <c r="K239" s="4">
        <v>1.425</v>
      </c>
      <c r="L239" s="4">
        <v>0</v>
      </c>
      <c r="M239" s="5">
        <v>408636</v>
      </c>
      <c r="N239" s="5">
        <v>112802</v>
      </c>
      <c r="O239" s="5">
        <v>104468.74</v>
      </c>
      <c r="P239" s="119">
        <f>_xlfn.XLOOKUP(raceday_22_23[[#This Row],[Helper]],'Betcha Integrated'!A:A,'Betcha Integrated'!H:H,0)</f>
        <v>237821.74</v>
      </c>
      <c r="Q239" s="4">
        <v>0.27600000000000002</v>
      </c>
      <c r="R239" s="4">
        <v>1.08</v>
      </c>
      <c r="S239" s="18">
        <v>3.9119999999999999</v>
      </c>
      <c r="T239" s="10">
        <v>0</v>
      </c>
      <c r="U239" s="10">
        <v>0</v>
      </c>
      <c r="V239" s="11">
        <v>0</v>
      </c>
      <c r="W23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39" s="3">
        <f>MONTH(raceday_22_23[[#This Row],[Raceday Date]])</f>
        <v>5</v>
      </c>
      <c r="Y23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39" s="3" t="str">
        <f>raceday_22_23[[#This Row],[Raceday Date]]&amp;raceday_22_23[[#This Row],[Club]]</f>
        <v>45792Waikato Bay of Plenty Harness Inc</v>
      </c>
      <c r="AA239" s="5">
        <f>0.03*raceday_22_23[[#This Row],[Export TO (AUD)]]</f>
        <v>7134.6521999999995</v>
      </c>
      <c r="AB239" s="5">
        <f>_xlfn.XLOOKUP(raceday_22_23[[#This Row],[Helper]],'Betcha Integrated'!A:A,'Betcha Integrated'!F:F, 0)</f>
        <v>434936</v>
      </c>
      <c r="AC239" s="5">
        <f>_xlfn.XLOOKUP(raceday_22_23[[#This Row],[Helper]],'Betcha Integrated'!A:A,'Betcha Integrated'!G:G, 0)</f>
        <v>123233</v>
      </c>
      <c r="AD239" s="5">
        <f>raceday_22_23[[#This Row],[Export Earned]]+raceday_22_23[[#This Row],[Betcha Inc. GBR]]</f>
        <v>130367.6522</v>
      </c>
      <c r="AE239" s="88">
        <f>ROUND(raceday_22_23[[#This Row],[Fav. Win %]]*raceday_22_23[[#This Row],[Races]], 0)</f>
        <v>1</v>
      </c>
    </row>
    <row r="240" spans="1:31" x14ac:dyDescent="0.3">
      <c r="A240" s="8">
        <v>45793</v>
      </c>
      <c r="B240" s="3" t="s">
        <v>77</v>
      </c>
      <c r="C240" s="3" t="s">
        <v>80</v>
      </c>
      <c r="D240" s="3" t="s">
        <v>81</v>
      </c>
      <c r="E240" s="3">
        <v>11</v>
      </c>
      <c r="F240" s="3">
        <v>115</v>
      </c>
      <c r="G240" s="3">
        <v>10.5</v>
      </c>
      <c r="H240" s="4">
        <v>0.54500000000000004</v>
      </c>
      <c r="I240" s="5">
        <v>548820</v>
      </c>
      <c r="J240" s="5">
        <v>49893</v>
      </c>
      <c r="K240" s="4">
        <v>0.14899999999999999</v>
      </c>
      <c r="L240" s="4">
        <v>9.0999999999999998E-2</v>
      </c>
      <c r="M240" s="5">
        <v>963231</v>
      </c>
      <c r="N240" s="5">
        <v>81653</v>
      </c>
      <c r="O240" s="5">
        <v>586726.92000000004</v>
      </c>
      <c r="P240" s="119">
        <f>_xlfn.XLOOKUP(raceday_22_23[[#This Row],[Helper]],'Betcha Integrated'!A:A,'Betcha Integrated'!H:H,0)</f>
        <v>376468.15</v>
      </c>
      <c r="Q240" s="4">
        <v>8.5000000000000006E-2</v>
      </c>
      <c r="R240" s="4">
        <v>0.13900000000000001</v>
      </c>
      <c r="S240" s="18">
        <v>1.6419999999999999</v>
      </c>
      <c r="T240" s="10">
        <v>657459</v>
      </c>
      <c r="U240" s="10">
        <v>81891</v>
      </c>
      <c r="V240" s="11">
        <v>0.125</v>
      </c>
      <c r="W240" s="12">
        <f>IF(raceday_22_23[[#This Row],[Last Year Turnover]]=0, "No Corresponding PY Meeting", (raceday_22_23[[#This Row],[Betcha Inc. TO]]-raceday_22_23[[#This Row],[Last Year Turnover]])/raceday_22_23[[#This Row],[Last Year Turnover]])</f>
        <v>0.58569888008225612</v>
      </c>
      <c r="X240" s="3">
        <f>MONTH(raceday_22_23[[#This Row],[Raceday Date]])</f>
        <v>5</v>
      </c>
      <c r="Y24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40" s="3" t="str">
        <f>raceday_22_23[[#This Row],[Raceday Date]]&amp;raceday_22_23[[#This Row],[Club]]</f>
        <v>45793NZ Metropolitan Trotting Club Inc</v>
      </c>
      <c r="AA240" s="5">
        <f>0.03*raceday_22_23[[#This Row],[Export TO (AUD)]]</f>
        <v>11294.0445</v>
      </c>
      <c r="AB240" s="5">
        <f>_xlfn.XLOOKUP(raceday_22_23[[#This Row],[Helper]],'Betcha Integrated'!A:A,'Betcha Integrated'!F:F, 0)</f>
        <v>1042532</v>
      </c>
      <c r="AC240" s="5">
        <f>_xlfn.XLOOKUP(raceday_22_23[[#This Row],[Helper]],'Betcha Integrated'!A:A,'Betcha Integrated'!G:G, 0)</f>
        <v>87655</v>
      </c>
      <c r="AD240" s="5">
        <f>raceday_22_23[[#This Row],[Export Earned]]+raceday_22_23[[#This Row],[Betcha Inc. GBR]]</f>
        <v>98949.044500000004</v>
      </c>
      <c r="AE240" s="88">
        <f>ROUND(raceday_22_23[[#This Row],[Fav. Win %]]*raceday_22_23[[#This Row],[Races]], 0)</f>
        <v>6</v>
      </c>
    </row>
    <row r="241" spans="1:31" x14ac:dyDescent="0.3">
      <c r="A241" s="8">
        <v>45793</v>
      </c>
      <c r="B241" s="3" t="s">
        <v>77</v>
      </c>
      <c r="C241" s="3" t="s">
        <v>78</v>
      </c>
      <c r="D241" s="3" t="s">
        <v>79</v>
      </c>
      <c r="E241" s="3">
        <v>8</v>
      </c>
      <c r="F241" s="3">
        <v>57</v>
      </c>
      <c r="G241" s="3">
        <v>7.1</v>
      </c>
      <c r="H241" s="4">
        <v>0.25</v>
      </c>
      <c r="I241" s="5">
        <v>134172</v>
      </c>
      <c r="J241" s="5">
        <v>16772</v>
      </c>
      <c r="K241" s="4">
        <v>0.98099999999999998</v>
      </c>
      <c r="L241" s="4">
        <v>0</v>
      </c>
      <c r="M241" s="5">
        <v>425689</v>
      </c>
      <c r="N241" s="5">
        <v>131606</v>
      </c>
      <c r="O241" s="5">
        <v>160473.13</v>
      </c>
      <c r="P241" s="119">
        <f>_xlfn.XLOOKUP(raceday_22_23[[#This Row],[Helper]],'Betcha Integrated'!A:A,'Betcha Integrated'!H:H,0)</f>
        <v>146238.96</v>
      </c>
      <c r="Q241" s="4">
        <v>0.309</v>
      </c>
      <c r="R241" s="4">
        <v>0.82</v>
      </c>
      <c r="S241" s="18">
        <v>2.653</v>
      </c>
      <c r="T241" s="10">
        <v>785952</v>
      </c>
      <c r="U241" s="10">
        <v>75230</v>
      </c>
      <c r="V241" s="11">
        <v>9.6000000000000002E-2</v>
      </c>
      <c r="W241" s="12">
        <f>IF(raceday_22_23[[#This Row],[Last Year Turnover]]=0, "No Corresponding PY Meeting", (raceday_22_23[[#This Row],[Betcha Inc. TO]]-raceday_22_23[[#This Row],[Last Year Turnover]])/raceday_22_23[[#This Row],[Last Year Turnover]])</f>
        <v>-0.39978904564146411</v>
      </c>
      <c r="X241" s="3">
        <f>MONTH(raceday_22_23[[#This Row],[Raceday Date]])</f>
        <v>5</v>
      </c>
      <c r="Y24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41" s="3" t="str">
        <f>raceday_22_23[[#This Row],[Raceday Date]]&amp;raceday_22_23[[#This Row],[Club]]</f>
        <v>45793Auckland Trotting Club Inc</v>
      </c>
      <c r="AA241" s="5">
        <f>0.03*raceday_22_23[[#This Row],[Export TO (AUD)]]</f>
        <v>4387.1687999999995</v>
      </c>
      <c r="AB241" s="5">
        <f>_xlfn.XLOOKUP(raceday_22_23[[#This Row],[Helper]],'Betcha Integrated'!A:A,'Betcha Integrated'!F:F, 0)</f>
        <v>471737</v>
      </c>
      <c r="AC241" s="5">
        <f>_xlfn.XLOOKUP(raceday_22_23[[#This Row],[Helper]],'Betcha Integrated'!A:A,'Betcha Integrated'!G:G, 0)</f>
        <v>161969</v>
      </c>
      <c r="AD241" s="5">
        <f>raceday_22_23[[#This Row],[Export Earned]]+raceday_22_23[[#This Row],[Betcha Inc. GBR]]</f>
        <v>166356.16879999998</v>
      </c>
      <c r="AE241" s="88">
        <f>ROUND(raceday_22_23[[#This Row],[Fav. Win %]]*raceday_22_23[[#This Row],[Races]], 0)</f>
        <v>2</v>
      </c>
    </row>
    <row r="242" spans="1:31" x14ac:dyDescent="0.3">
      <c r="A242" s="8">
        <v>45795</v>
      </c>
      <c r="B242" s="3" t="s">
        <v>82</v>
      </c>
      <c r="C242" s="3" t="s">
        <v>89</v>
      </c>
      <c r="D242" s="3" t="s">
        <v>81</v>
      </c>
      <c r="E242" s="3">
        <v>10</v>
      </c>
      <c r="F242" s="3">
        <v>111</v>
      </c>
      <c r="G242" s="3">
        <v>11.1</v>
      </c>
      <c r="H242" s="4">
        <v>0.4</v>
      </c>
      <c r="I242" s="5">
        <v>140136</v>
      </c>
      <c r="J242" s="5">
        <v>14014</v>
      </c>
      <c r="K242" s="4">
        <v>-0.11700000000000001</v>
      </c>
      <c r="L242" s="4">
        <v>0.2</v>
      </c>
      <c r="M242" s="5">
        <v>669174</v>
      </c>
      <c r="N242" s="5">
        <v>-16327</v>
      </c>
      <c r="O242" s="5">
        <v>173022</v>
      </c>
      <c r="P242" s="119">
        <f>_xlfn.XLOOKUP(raceday_22_23[[#This Row],[Helper]],'Betcha Integrated'!A:A,'Betcha Integrated'!H:H,0)</f>
        <v>171988.58</v>
      </c>
      <c r="Q242" s="4">
        <v>-2.4E-2</v>
      </c>
      <c r="R242" s="4">
        <v>-9.4E-2</v>
      </c>
      <c r="S242" s="18">
        <v>3.8679999999999999</v>
      </c>
      <c r="T242" s="10">
        <v>760780</v>
      </c>
      <c r="U242" s="10">
        <v>62518</v>
      </c>
      <c r="V242" s="11">
        <v>8.2000000000000003E-2</v>
      </c>
      <c r="W242" s="12">
        <f>IF(raceday_22_23[[#This Row],[Last Year Turnover]]=0, "No Corresponding PY Meeting", (raceday_22_23[[#This Row],[Betcha Inc. TO]]-raceday_22_23[[#This Row],[Last Year Turnover]])/raceday_22_23[[#This Row],[Last Year Turnover]])</f>
        <v>-5.0537606141065748E-2</v>
      </c>
      <c r="X242" s="3">
        <f>MONTH(raceday_22_23[[#This Row],[Raceday Date]])</f>
        <v>5</v>
      </c>
      <c r="Y24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42" s="3" t="str">
        <f>raceday_22_23[[#This Row],[Raceday Date]]&amp;raceday_22_23[[#This Row],[Club]]</f>
        <v>45795Rangiora Harness Racing Club Inc</v>
      </c>
      <c r="AA242" s="5">
        <f>0.03*raceday_22_23[[#This Row],[Export TO (AUD)]]</f>
        <v>5159.6573999999991</v>
      </c>
      <c r="AB242" s="5">
        <f>_xlfn.XLOOKUP(raceday_22_23[[#This Row],[Helper]],'Betcha Integrated'!A:A,'Betcha Integrated'!F:F, 0)</f>
        <v>722332</v>
      </c>
      <c r="AC242" s="5">
        <f>_xlfn.XLOOKUP(raceday_22_23[[#This Row],[Helper]],'Betcha Integrated'!A:A,'Betcha Integrated'!G:G, 0)</f>
        <v>-23120</v>
      </c>
      <c r="AD242" s="5">
        <f>raceday_22_23[[#This Row],[Export Earned]]+raceday_22_23[[#This Row],[Betcha Inc. GBR]]</f>
        <v>-17960.3426</v>
      </c>
      <c r="AE242" s="88">
        <f>ROUND(raceday_22_23[[#This Row],[Fav. Win %]]*raceday_22_23[[#This Row],[Races]], 0)</f>
        <v>4</v>
      </c>
    </row>
    <row r="243" spans="1:31" x14ac:dyDescent="0.3">
      <c r="A243" s="8">
        <v>45795</v>
      </c>
      <c r="B243" s="3" t="s">
        <v>82</v>
      </c>
      <c r="C243" s="3" t="s">
        <v>85</v>
      </c>
      <c r="D243" s="3" t="s">
        <v>76</v>
      </c>
      <c r="E243" s="3">
        <v>9</v>
      </c>
      <c r="F243" s="3">
        <v>74</v>
      </c>
      <c r="G243" s="3">
        <v>8.1999999999999993</v>
      </c>
      <c r="H243" s="4">
        <v>0.44400000000000001</v>
      </c>
      <c r="I243" s="5">
        <v>95263</v>
      </c>
      <c r="J243" s="5">
        <v>10585</v>
      </c>
      <c r="K243" s="4">
        <v>0.54600000000000004</v>
      </c>
      <c r="L243" s="4">
        <v>0.222</v>
      </c>
      <c r="M243" s="5">
        <v>409406</v>
      </c>
      <c r="N243" s="5">
        <v>51984</v>
      </c>
      <c r="O243" s="5">
        <v>120405.36</v>
      </c>
      <c r="P243" s="119">
        <f>_xlfn.XLOOKUP(raceday_22_23[[#This Row],[Helper]],'Betcha Integrated'!A:A,'Betcha Integrated'!H:H,0)</f>
        <v>109929.36</v>
      </c>
      <c r="Q243" s="4">
        <v>0.127</v>
      </c>
      <c r="R243" s="4">
        <v>0.432</v>
      </c>
      <c r="S243" s="18">
        <v>3.4</v>
      </c>
      <c r="T243" s="10">
        <v>279743</v>
      </c>
      <c r="U243" s="10">
        <v>80026</v>
      </c>
      <c r="V243" s="11">
        <v>0.28599999999999998</v>
      </c>
      <c r="W243" s="12">
        <f>IF(raceday_22_23[[#This Row],[Last Year Turnover]]=0, "No Corresponding PY Meeting", (raceday_22_23[[#This Row],[Betcha Inc. TO]]-raceday_22_23[[#This Row],[Last Year Turnover]])/raceday_22_23[[#This Row],[Last Year Turnover]])</f>
        <v>0.57175335933338811</v>
      </c>
      <c r="X243" s="3">
        <f>MONTH(raceday_22_23[[#This Row],[Raceday Date]])</f>
        <v>5</v>
      </c>
      <c r="Y24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43" s="3" t="str">
        <f>raceday_22_23[[#This Row],[Raceday Date]]&amp;raceday_22_23[[#This Row],[Club]]</f>
        <v>45795Invercargill Harness Racing Club Inc</v>
      </c>
      <c r="AA243" s="5">
        <f>0.03*raceday_22_23[[#This Row],[Export TO (AUD)]]</f>
        <v>3297.8807999999999</v>
      </c>
      <c r="AB243" s="5">
        <f>_xlfn.XLOOKUP(raceday_22_23[[#This Row],[Helper]],'Betcha Integrated'!A:A,'Betcha Integrated'!F:F, 0)</f>
        <v>439687</v>
      </c>
      <c r="AC243" s="5">
        <f>_xlfn.XLOOKUP(raceday_22_23[[#This Row],[Helper]],'Betcha Integrated'!A:A,'Betcha Integrated'!G:G, 0)</f>
        <v>57221</v>
      </c>
      <c r="AD243" s="5">
        <f>raceday_22_23[[#This Row],[Export Earned]]+raceday_22_23[[#This Row],[Betcha Inc. GBR]]</f>
        <v>60518.880799999999</v>
      </c>
      <c r="AE243" s="88">
        <f>ROUND(raceday_22_23[[#This Row],[Fav. Win %]]*raceday_22_23[[#This Row],[Races]], 0)</f>
        <v>4</v>
      </c>
    </row>
    <row r="244" spans="1:31" x14ac:dyDescent="0.3">
      <c r="A244" s="8">
        <v>45799</v>
      </c>
      <c r="B244" s="3" t="s">
        <v>74</v>
      </c>
      <c r="C244" s="3" t="s">
        <v>75</v>
      </c>
      <c r="D244" s="3" t="s">
        <v>76</v>
      </c>
      <c r="E244" s="3">
        <v>10</v>
      </c>
      <c r="F244" s="3">
        <v>104</v>
      </c>
      <c r="G244" s="3">
        <v>10.4</v>
      </c>
      <c r="H244" s="4">
        <v>0.4</v>
      </c>
      <c r="I244" s="5">
        <v>115149</v>
      </c>
      <c r="J244" s="5">
        <v>11515</v>
      </c>
      <c r="K244" s="4">
        <v>0.70899999999999996</v>
      </c>
      <c r="L244" s="4">
        <v>0.2</v>
      </c>
      <c r="M244" s="5">
        <v>476413</v>
      </c>
      <c r="N244" s="5">
        <v>81620</v>
      </c>
      <c r="O244" s="5">
        <v>0</v>
      </c>
      <c r="P244" s="119">
        <f>_xlfn.XLOOKUP(raceday_22_23[[#This Row],[Helper]],'Betcha Integrated'!A:A,'Betcha Integrated'!H:H,0)</f>
        <v>227773.2</v>
      </c>
      <c r="Q244" s="4">
        <v>0.17100000000000001</v>
      </c>
      <c r="R244" s="4">
        <v>0</v>
      </c>
      <c r="S244" s="18">
        <v>0</v>
      </c>
      <c r="T244" s="10">
        <v>421381</v>
      </c>
      <c r="U244" s="10">
        <v>81615</v>
      </c>
      <c r="V244" s="11">
        <v>0.19400000000000001</v>
      </c>
      <c r="W244" s="12">
        <f>IF(raceday_22_23[[#This Row],[Last Year Turnover]]=0, "No Corresponding PY Meeting", (raceday_22_23[[#This Row],[Betcha Inc. TO]]-raceday_22_23[[#This Row],[Last Year Turnover]])/raceday_22_23[[#This Row],[Last Year Turnover]])</f>
        <v>0.19152263628402799</v>
      </c>
      <c r="X244" s="3">
        <f>MONTH(raceday_22_23[[#This Row],[Raceday Date]])</f>
        <v>5</v>
      </c>
      <c r="Y24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44" s="3" t="str">
        <f>raceday_22_23[[#This Row],[Raceday Date]]&amp;raceday_22_23[[#This Row],[Club]]</f>
        <v>45799Winton Harness Racing Club Inc</v>
      </c>
      <c r="AA244" s="5">
        <f>0.03*raceday_22_23[[#This Row],[Export TO (AUD)]]</f>
        <v>6833.1959999999999</v>
      </c>
      <c r="AB244" s="5">
        <f>_xlfn.XLOOKUP(raceday_22_23[[#This Row],[Helper]],'Betcha Integrated'!A:A,'Betcha Integrated'!F:F, 0)</f>
        <v>502085</v>
      </c>
      <c r="AC244" s="5">
        <f>_xlfn.XLOOKUP(raceday_22_23[[#This Row],[Helper]],'Betcha Integrated'!A:A,'Betcha Integrated'!G:G, 0)</f>
        <v>82049</v>
      </c>
      <c r="AD244" s="5">
        <f>raceday_22_23[[#This Row],[Export Earned]]+raceday_22_23[[#This Row],[Betcha Inc. GBR]]</f>
        <v>88882.195999999996</v>
      </c>
      <c r="AE244" s="88">
        <f>ROUND(raceday_22_23[[#This Row],[Fav. Win %]]*raceday_22_23[[#This Row],[Races]], 0)</f>
        <v>4</v>
      </c>
    </row>
    <row r="245" spans="1:31" x14ac:dyDescent="0.3">
      <c r="A245" s="8">
        <v>45799</v>
      </c>
      <c r="B245" s="3" t="s">
        <v>74</v>
      </c>
      <c r="C245" s="3" t="s">
        <v>84</v>
      </c>
      <c r="D245" s="3" t="s">
        <v>79</v>
      </c>
      <c r="E245" s="3">
        <v>8</v>
      </c>
      <c r="F245" s="3">
        <v>57</v>
      </c>
      <c r="G245" s="3">
        <v>7.1</v>
      </c>
      <c r="H245" s="4">
        <v>0.375</v>
      </c>
      <c r="I245" s="5">
        <v>60295</v>
      </c>
      <c r="J245" s="5">
        <v>7537</v>
      </c>
      <c r="K245" s="4">
        <v>0.97099999999999997</v>
      </c>
      <c r="L245" s="4">
        <v>0</v>
      </c>
      <c r="M245" s="5">
        <v>340351</v>
      </c>
      <c r="N245" s="5">
        <v>58566</v>
      </c>
      <c r="O245" s="5">
        <v>0</v>
      </c>
      <c r="P245" s="119">
        <f>_xlfn.XLOOKUP(raceday_22_23[[#This Row],[Helper]],'Betcha Integrated'!A:A,'Betcha Integrated'!H:H,0)</f>
        <v>205915.21</v>
      </c>
      <c r="Q245" s="4">
        <v>0.17199999999999999</v>
      </c>
      <c r="R245" s="4">
        <v>0</v>
      </c>
      <c r="S245" s="18">
        <v>0</v>
      </c>
      <c r="T245" s="10">
        <v>0</v>
      </c>
      <c r="U245" s="10">
        <v>0</v>
      </c>
      <c r="V245" s="11">
        <v>0</v>
      </c>
      <c r="W245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45" s="3">
        <f>MONTH(raceday_22_23[[#This Row],[Raceday Date]])</f>
        <v>5</v>
      </c>
      <c r="Y24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45" s="3" t="str">
        <f>raceday_22_23[[#This Row],[Raceday Date]]&amp;raceday_22_23[[#This Row],[Club]]</f>
        <v>45799Waikato Bay of Plenty Harness Inc</v>
      </c>
      <c r="AA245" s="5">
        <f>0.03*raceday_22_23[[#This Row],[Export TO (AUD)]]</f>
        <v>6177.4562999999998</v>
      </c>
      <c r="AB245" s="5">
        <f>_xlfn.XLOOKUP(raceday_22_23[[#This Row],[Helper]],'Betcha Integrated'!A:A,'Betcha Integrated'!F:F, 0)</f>
        <v>365142</v>
      </c>
      <c r="AC245" s="5">
        <f>_xlfn.XLOOKUP(raceday_22_23[[#This Row],[Helper]],'Betcha Integrated'!A:A,'Betcha Integrated'!G:G, 0)</f>
        <v>63495</v>
      </c>
      <c r="AD245" s="5">
        <f>raceday_22_23[[#This Row],[Export Earned]]+raceday_22_23[[#This Row],[Betcha Inc. GBR]]</f>
        <v>69672.456300000005</v>
      </c>
      <c r="AE245" s="88">
        <f>ROUND(raceday_22_23[[#This Row],[Fav. Win %]]*raceday_22_23[[#This Row],[Races]], 0)</f>
        <v>3</v>
      </c>
    </row>
    <row r="246" spans="1:31" x14ac:dyDescent="0.3">
      <c r="A246" s="8">
        <v>45800</v>
      </c>
      <c r="B246" s="3" t="s">
        <v>77</v>
      </c>
      <c r="C246" s="3" t="s">
        <v>78</v>
      </c>
      <c r="D246" s="3" t="s">
        <v>79</v>
      </c>
      <c r="E246" s="3">
        <v>10</v>
      </c>
      <c r="F246" s="3">
        <v>79</v>
      </c>
      <c r="G246" s="3">
        <v>7.9</v>
      </c>
      <c r="H246" s="4">
        <v>0.5</v>
      </c>
      <c r="I246" s="5">
        <v>170682</v>
      </c>
      <c r="J246" s="5">
        <v>17068</v>
      </c>
      <c r="K246" s="4">
        <v>0.53</v>
      </c>
      <c r="L246" s="4">
        <v>0.2</v>
      </c>
      <c r="M246" s="5">
        <v>643711</v>
      </c>
      <c r="N246" s="5">
        <v>90522</v>
      </c>
      <c r="O246" s="5">
        <v>0</v>
      </c>
      <c r="P246" s="119">
        <f>_xlfn.XLOOKUP(raceday_22_23[[#This Row],[Helper]],'Betcha Integrated'!A:A,'Betcha Integrated'!H:H,0)</f>
        <v>282475.09999999998</v>
      </c>
      <c r="Q246" s="4">
        <v>0.14099999999999999</v>
      </c>
      <c r="R246" s="4">
        <v>0</v>
      </c>
      <c r="S246" s="18">
        <v>0</v>
      </c>
      <c r="T246" s="10">
        <v>0</v>
      </c>
      <c r="U246" s="10">
        <v>0</v>
      </c>
      <c r="V246" s="11">
        <v>0</v>
      </c>
      <c r="W24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46" s="3">
        <f>MONTH(raceday_22_23[[#This Row],[Raceday Date]])</f>
        <v>5</v>
      </c>
      <c r="Y24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46" s="3" t="str">
        <f>raceday_22_23[[#This Row],[Raceday Date]]&amp;raceday_22_23[[#This Row],[Club]]</f>
        <v>45800Auckland Trotting Club Inc</v>
      </c>
      <c r="AA246" s="5">
        <f>0.03*raceday_22_23[[#This Row],[Export TO (AUD)]]</f>
        <v>8474.2529999999988</v>
      </c>
      <c r="AB246" s="5">
        <f>_xlfn.XLOOKUP(raceday_22_23[[#This Row],[Helper]],'Betcha Integrated'!A:A,'Betcha Integrated'!F:F, 0)</f>
        <v>690498</v>
      </c>
      <c r="AC246" s="5">
        <f>_xlfn.XLOOKUP(raceday_22_23[[#This Row],[Helper]],'Betcha Integrated'!A:A,'Betcha Integrated'!G:G, 0)</f>
        <v>105192</v>
      </c>
      <c r="AD246" s="5">
        <f>raceday_22_23[[#This Row],[Export Earned]]+raceday_22_23[[#This Row],[Betcha Inc. GBR]]</f>
        <v>113666.253</v>
      </c>
      <c r="AE246" s="88">
        <f>ROUND(raceday_22_23[[#This Row],[Fav. Win %]]*raceday_22_23[[#This Row],[Races]], 0)</f>
        <v>5</v>
      </c>
    </row>
    <row r="247" spans="1:31" x14ac:dyDescent="0.3">
      <c r="A247" s="8">
        <v>45800</v>
      </c>
      <c r="B247" s="3" t="s">
        <v>77</v>
      </c>
      <c r="C247" s="3" t="s">
        <v>80</v>
      </c>
      <c r="D247" s="3" t="s">
        <v>81</v>
      </c>
      <c r="E247" s="3">
        <v>10</v>
      </c>
      <c r="F247" s="3">
        <v>111</v>
      </c>
      <c r="G247" s="3">
        <v>11.1</v>
      </c>
      <c r="H247" s="4">
        <v>0.3</v>
      </c>
      <c r="I247" s="5">
        <v>410276</v>
      </c>
      <c r="J247" s="5">
        <v>41028</v>
      </c>
      <c r="K247" s="4">
        <v>0.624</v>
      </c>
      <c r="L247" s="4">
        <v>0.3</v>
      </c>
      <c r="M247" s="5">
        <v>1021170</v>
      </c>
      <c r="N247" s="5">
        <v>256214</v>
      </c>
      <c r="O247" s="5">
        <v>0</v>
      </c>
      <c r="P247" s="119">
        <f>_xlfn.XLOOKUP(raceday_22_23[[#This Row],[Helper]],'Betcha Integrated'!A:A,'Betcha Integrated'!H:H,0)</f>
        <v>379934.41</v>
      </c>
      <c r="Q247" s="4">
        <v>0.251</v>
      </c>
      <c r="R247" s="4">
        <v>0</v>
      </c>
      <c r="S247" s="18">
        <v>0</v>
      </c>
      <c r="T247" s="10">
        <v>754956</v>
      </c>
      <c r="U247" s="10">
        <v>65012</v>
      </c>
      <c r="V247" s="11">
        <v>8.5999999999999993E-2</v>
      </c>
      <c r="W247" s="12">
        <f>IF(raceday_22_23[[#This Row],[Last Year Turnover]]=0, "No Corresponding PY Meeting", (raceday_22_23[[#This Row],[Betcha Inc. TO]]-raceday_22_23[[#This Row],[Last Year Turnover]])/raceday_22_23[[#This Row],[Last Year Turnover]])</f>
        <v>0.48364540450039473</v>
      </c>
      <c r="X247" s="3">
        <f>MONTH(raceday_22_23[[#This Row],[Raceday Date]])</f>
        <v>5</v>
      </c>
      <c r="Y24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47" s="3" t="str">
        <f>raceday_22_23[[#This Row],[Raceday Date]]&amp;raceday_22_23[[#This Row],[Club]]</f>
        <v>45800NZ Metropolitan Trotting Club Inc</v>
      </c>
      <c r="AA247" s="5">
        <f>0.03*raceday_22_23[[#This Row],[Export TO (AUD)]]</f>
        <v>11398.032299999999</v>
      </c>
      <c r="AB247" s="5">
        <f>_xlfn.XLOOKUP(raceday_22_23[[#This Row],[Helper]],'Betcha Integrated'!A:A,'Betcha Integrated'!F:F, 0)</f>
        <v>1120087</v>
      </c>
      <c r="AC247" s="5">
        <f>_xlfn.XLOOKUP(raceday_22_23[[#This Row],[Helper]],'Betcha Integrated'!A:A,'Betcha Integrated'!G:G, 0)</f>
        <v>305984</v>
      </c>
      <c r="AD247" s="5">
        <f>raceday_22_23[[#This Row],[Export Earned]]+raceday_22_23[[#This Row],[Betcha Inc. GBR]]</f>
        <v>317382.03230000002</v>
      </c>
      <c r="AE247" s="88">
        <f>ROUND(raceday_22_23[[#This Row],[Fav. Win %]]*raceday_22_23[[#This Row],[Races]], 0)</f>
        <v>3</v>
      </c>
    </row>
    <row r="248" spans="1:31" x14ac:dyDescent="0.3">
      <c r="A248" s="8">
        <v>45802</v>
      </c>
      <c r="B248" s="3" t="s">
        <v>82</v>
      </c>
      <c r="C248" s="3" t="s">
        <v>95</v>
      </c>
      <c r="D248" s="3" t="s">
        <v>81</v>
      </c>
      <c r="E248" s="3">
        <v>11</v>
      </c>
      <c r="F248" s="3">
        <v>105</v>
      </c>
      <c r="G248" s="3">
        <v>9.5</v>
      </c>
      <c r="H248" s="4">
        <v>0.54500000000000004</v>
      </c>
      <c r="I248" s="5">
        <v>130154</v>
      </c>
      <c r="J248" s="5">
        <v>11832</v>
      </c>
      <c r="K248" s="4">
        <v>0.23200000000000001</v>
      </c>
      <c r="L248" s="4">
        <v>0.182</v>
      </c>
      <c r="M248" s="5">
        <v>743357</v>
      </c>
      <c r="N248" s="5">
        <v>30194</v>
      </c>
      <c r="O248" s="5">
        <v>0</v>
      </c>
      <c r="P248" s="119">
        <f>_xlfn.XLOOKUP(raceday_22_23[[#This Row],[Helper]],'Betcha Integrated'!A:A,'Betcha Integrated'!H:H,0)</f>
        <v>148828.04999999999</v>
      </c>
      <c r="Q248" s="4">
        <v>4.1000000000000002E-2</v>
      </c>
      <c r="R248" s="4">
        <v>0</v>
      </c>
      <c r="S248" s="18">
        <v>0</v>
      </c>
      <c r="T248" s="10">
        <v>739739</v>
      </c>
      <c r="U248" s="10">
        <v>142531</v>
      </c>
      <c r="V248" s="11">
        <v>0.193</v>
      </c>
      <c r="W248" s="12">
        <f>IF(raceday_22_23[[#This Row],[Last Year Turnover]]=0, "No Corresponding PY Meeting", (raceday_22_23[[#This Row],[Betcha Inc. TO]]-raceday_22_23[[#This Row],[Last Year Turnover]])/raceday_22_23[[#This Row],[Last Year Turnover]])</f>
        <v>5.9284423289836012E-2</v>
      </c>
      <c r="X248" s="3">
        <f>MONTH(raceday_22_23[[#This Row],[Raceday Date]])</f>
        <v>5</v>
      </c>
      <c r="Y248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48" s="3" t="str">
        <f>raceday_22_23[[#This Row],[Raceday Date]]&amp;raceday_22_23[[#This Row],[Club]]</f>
        <v>45802Timaru Harness Racing Club Inc</v>
      </c>
      <c r="AA248" s="5">
        <f>0.03*raceday_22_23[[#This Row],[Export TO (AUD)]]</f>
        <v>4464.8414999999995</v>
      </c>
      <c r="AB248" s="5">
        <f>_xlfn.XLOOKUP(raceday_22_23[[#This Row],[Helper]],'Betcha Integrated'!A:A,'Betcha Integrated'!F:F, 0)</f>
        <v>783594</v>
      </c>
      <c r="AC248" s="5">
        <f>_xlfn.XLOOKUP(raceday_22_23[[#This Row],[Helper]],'Betcha Integrated'!A:A,'Betcha Integrated'!G:G, 0)</f>
        <v>29008</v>
      </c>
      <c r="AD248" s="5">
        <f>raceday_22_23[[#This Row],[Export Earned]]+raceday_22_23[[#This Row],[Betcha Inc. GBR]]</f>
        <v>33472.841500000002</v>
      </c>
      <c r="AE248" s="88">
        <f>ROUND(raceday_22_23[[#This Row],[Fav. Win %]]*raceday_22_23[[#This Row],[Races]], 0)</f>
        <v>6</v>
      </c>
    </row>
    <row r="249" spans="1:31" x14ac:dyDescent="0.3">
      <c r="A249" s="8">
        <v>45806</v>
      </c>
      <c r="B249" s="3" t="s">
        <v>74</v>
      </c>
      <c r="C249" s="3" t="s">
        <v>84</v>
      </c>
      <c r="D249" s="3" t="s">
        <v>79</v>
      </c>
      <c r="E249" s="3">
        <v>7</v>
      </c>
      <c r="F249" s="3">
        <v>55</v>
      </c>
      <c r="G249" s="3">
        <v>7.9</v>
      </c>
      <c r="H249" s="4">
        <v>0.57099999999999995</v>
      </c>
      <c r="I249" s="5">
        <v>51940</v>
      </c>
      <c r="J249" s="5">
        <v>7420</v>
      </c>
      <c r="K249" s="4">
        <v>-0.17699999999999999</v>
      </c>
      <c r="L249" s="4">
        <v>0.14299999999999999</v>
      </c>
      <c r="M249" s="5">
        <v>365064</v>
      </c>
      <c r="N249" s="5">
        <v>-9205</v>
      </c>
      <c r="O249" s="5">
        <v>0</v>
      </c>
      <c r="P249" s="119">
        <f>_xlfn.XLOOKUP(raceday_22_23[[#This Row],[Helper]],'Betcha Integrated'!A:A,'Betcha Integrated'!H:H,0)</f>
        <v>185984.96</v>
      </c>
      <c r="Q249" s="4">
        <v>-2.5000000000000001E-2</v>
      </c>
      <c r="R249" s="4">
        <v>0</v>
      </c>
      <c r="S249" s="18">
        <v>0</v>
      </c>
      <c r="T249" s="10">
        <v>0</v>
      </c>
      <c r="U249" s="10">
        <v>0</v>
      </c>
      <c r="V249" s="11">
        <v>0</v>
      </c>
      <c r="W249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49" s="3">
        <f>MONTH(raceday_22_23[[#This Row],[Raceday Date]])</f>
        <v>5</v>
      </c>
      <c r="Y249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49" s="3" t="str">
        <f>raceday_22_23[[#This Row],[Raceday Date]]&amp;raceday_22_23[[#This Row],[Club]]</f>
        <v>45806Waikato Bay of Plenty Harness Inc</v>
      </c>
      <c r="AA249" s="5">
        <f>0.03*raceday_22_23[[#This Row],[Export TO (AUD)]]</f>
        <v>5579.5487999999996</v>
      </c>
      <c r="AB249" s="5">
        <f>_xlfn.XLOOKUP(raceday_22_23[[#This Row],[Helper]],'Betcha Integrated'!A:A,'Betcha Integrated'!F:F, 0)</f>
        <v>394383</v>
      </c>
      <c r="AC249" s="5">
        <f>_xlfn.XLOOKUP(raceday_22_23[[#This Row],[Helper]],'Betcha Integrated'!A:A,'Betcha Integrated'!G:G, 0)</f>
        <v>-10689</v>
      </c>
      <c r="AD249" s="5">
        <f>raceday_22_23[[#This Row],[Export Earned]]+raceday_22_23[[#This Row],[Betcha Inc. GBR]]</f>
        <v>-5109.4512000000004</v>
      </c>
      <c r="AE249" s="88">
        <f>ROUND(raceday_22_23[[#This Row],[Fav. Win %]]*raceday_22_23[[#This Row],[Races]], 0)</f>
        <v>4</v>
      </c>
    </row>
    <row r="250" spans="1:31" x14ac:dyDescent="0.3">
      <c r="A250" s="8">
        <v>45807</v>
      </c>
      <c r="B250" s="3" t="s">
        <v>77</v>
      </c>
      <c r="C250" s="3" t="s">
        <v>78</v>
      </c>
      <c r="D250" s="3" t="s">
        <v>79</v>
      </c>
      <c r="E250" s="3">
        <v>8</v>
      </c>
      <c r="F250" s="3">
        <v>64</v>
      </c>
      <c r="G250" s="3">
        <v>8</v>
      </c>
      <c r="H250" s="4">
        <v>0.25</v>
      </c>
      <c r="I250" s="5">
        <v>161623</v>
      </c>
      <c r="J250" s="5">
        <v>20203</v>
      </c>
      <c r="K250" s="4">
        <v>0.53100000000000003</v>
      </c>
      <c r="L250" s="4">
        <v>0.125</v>
      </c>
      <c r="M250" s="5">
        <v>597273</v>
      </c>
      <c r="N250" s="5">
        <v>85865</v>
      </c>
      <c r="O250" s="5">
        <v>0</v>
      </c>
      <c r="P250" s="119">
        <f>_xlfn.XLOOKUP(raceday_22_23[[#This Row],[Helper]],'Betcha Integrated'!A:A,'Betcha Integrated'!H:H,0)</f>
        <v>209964.65</v>
      </c>
      <c r="Q250" s="4">
        <v>0.14399999999999999</v>
      </c>
      <c r="R250" s="4">
        <v>0</v>
      </c>
      <c r="S250" s="18">
        <v>0</v>
      </c>
      <c r="T250" s="10">
        <v>0</v>
      </c>
      <c r="U250" s="10">
        <v>0</v>
      </c>
      <c r="V250" s="11">
        <v>0</v>
      </c>
      <c r="W250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50" s="3">
        <f>MONTH(raceday_22_23[[#This Row],[Raceday Date]])</f>
        <v>5</v>
      </c>
      <c r="Y250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50" s="3" t="str">
        <f>raceday_22_23[[#This Row],[Raceday Date]]&amp;raceday_22_23[[#This Row],[Club]]</f>
        <v>45807Auckland Trotting Club Inc</v>
      </c>
      <c r="AA250" s="5">
        <f>0.03*raceday_22_23[[#This Row],[Export TO (AUD)]]</f>
        <v>6298.9394999999995</v>
      </c>
      <c r="AB250" s="5">
        <f>_xlfn.XLOOKUP(raceday_22_23[[#This Row],[Helper]],'Betcha Integrated'!A:A,'Betcha Integrated'!F:F, 0)</f>
        <v>653173</v>
      </c>
      <c r="AC250" s="5">
        <f>_xlfn.XLOOKUP(raceday_22_23[[#This Row],[Helper]],'Betcha Integrated'!A:A,'Betcha Integrated'!G:G, 0)</f>
        <v>100268</v>
      </c>
      <c r="AD250" s="5">
        <f>raceday_22_23[[#This Row],[Export Earned]]+raceday_22_23[[#This Row],[Betcha Inc. GBR]]</f>
        <v>106566.93949999999</v>
      </c>
      <c r="AE250" s="88">
        <f>ROUND(raceday_22_23[[#This Row],[Fav. Win %]]*raceday_22_23[[#This Row],[Races]], 0)</f>
        <v>2</v>
      </c>
    </row>
    <row r="251" spans="1:31" x14ac:dyDescent="0.3">
      <c r="A251" s="8">
        <v>45807</v>
      </c>
      <c r="B251" s="3" t="s">
        <v>77</v>
      </c>
      <c r="C251" s="3" t="s">
        <v>80</v>
      </c>
      <c r="D251" s="3" t="s">
        <v>81</v>
      </c>
      <c r="E251" s="3">
        <v>10</v>
      </c>
      <c r="F251" s="3">
        <v>95</v>
      </c>
      <c r="G251" s="3">
        <v>9.5</v>
      </c>
      <c r="H251" s="4">
        <v>0.6</v>
      </c>
      <c r="I251" s="5">
        <v>168460</v>
      </c>
      <c r="J251" s="5">
        <v>16846</v>
      </c>
      <c r="K251" s="4">
        <v>0.89300000000000002</v>
      </c>
      <c r="L251" s="4">
        <v>0.2</v>
      </c>
      <c r="M251" s="5">
        <v>859947</v>
      </c>
      <c r="N251" s="5">
        <v>150491</v>
      </c>
      <c r="O251" s="5">
        <v>0</v>
      </c>
      <c r="P251" s="119">
        <f>_xlfn.XLOOKUP(raceday_22_23[[#This Row],[Helper]],'Betcha Integrated'!A:A,'Betcha Integrated'!H:H,0)</f>
        <v>308315.45</v>
      </c>
      <c r="Q251" s="4">
        <v>0.17499999999999999</v>
      </c>
      <c r="R251" s="4">
        <v>0</v>
      </c>
      <c r="S251" s="18">
        <v>0</v>
      </c>
      <c r="T251" s="10">
        <v>948850</v>
      </c>
      <c r="U251" s="10">
        <v>65156</v>
      </c>
      <c r="V251" s="11">
        <v>6.9000000000000006E-2</v>
      </c>
      <c r="W251" s="12">
        <f>IF(raceday_22_23[[#This Row],[Last Year Turnover]]=0, "No Corresponding PY Meeting", (raceday_22_23[[#This Row],[Betcha Inc. TO]]-raceday_22_23[[#This Row],[Last Year Turnover]])/raceday_22_23[[#This Row],[Last Year Turnover]])</f>
        <v>1.3881013858881804E-2</v>
      </c>
      <c r="X251" s="3">
        <f>MONTH(raceday_22_23[[#This Row],[Raceday Date]])</f>
        <v>5</v>
      </c>
      <c r="Y251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51" s="3" t="str">
        <f>raceday_22_23[[#This Row],[Raceday Date]]&amp;raceday_22_23[[#This Row],[Club]]</f>
        <v>45807NZ Metropolitan Trotting Club Inc</v>
      </c>
      <c r="AA251" s="5">
        <f>0.03*raceday_22_23[[#This Row],[Export TO (AUD)]]</f>
        <v>9249.4634999999998</v>
      </c>
      <c r="AB251" s="5">
        <f>_xlfn.XLOOKUP(raceday_22_23[[#This Row],[Helper]],'Betcha Integrated'!A:A,'Betcha Integrated'!F:F, 0)</f>
        <v>962021</v>
      </c>
      <c r="AC251" s="5">
        <f>_xlfn.XLOOKUP(raceday_22_23[[#This Row],[Helper]],'Betcha Integrated'!A:A,'Betcha Integrated'!G:G, 0)</f>
        <v>95377</v>
      </c>
      <c r="AD251" s="5">
        <f>raceday_22_23[[#This Row],[Export Earned]]+raceday_22_23[[#This Row],[Betcha Inc. GBR]]</f>
        <v>104626.4635</v>
      </c>
      <c r="AE251" s="88">
        <f>ROUND(raceday_22_23[[#This Row],[Fav. Win %]]*raceday_22_23[[#This Row],[Races]], 0)</f>
        <v>6</v>
      </c>
    </row>
    <row r="252" spans="1:31" x14ac:dyDescent="0.3">
      <c r="A252" s="8">
        <v>45809</v>
      </c>
      <c r="B252" s="3" t="s">
        <v>82</v>
      </c>
      <c r="C252" s="3" t="s">
        <v>86</v>
      </c>
      <c r="D252" s="3" t="s">
        <v>81</v>
      </c>
      <c r="E252" s="3">
        <v>11</v>
      </c>
      <c r="F252" s="3">
        <v>126</v>
      </c>
      <c r="G252" s="3">
        <v>11.5</v>
      </c>
      <c r="H252" s="4">
        <v>0.36399999999999999</v>
      </c>
      <c r="I252" s="5">
        <v>226102</v>
      </c>
      <c r="J252" s="5">
        <v>20555</v>
      </c>
      <c r="K252" s="4">
        <v>0.56899999999999995</v>
      </c>
      <c r="L252" s="4">
        <v>0.45500000000000002</v>
      </c>
      <c r="M252" s="5">
        <v>1009560</v>
      </c>
      <c r="N252" s="5">
        <v>128665</v>
      </c>
      <c r="O252" s="5">
        <v>0</v>
      </c>
      <c r="P252" s="119">
        <f>_xlfn.XLOOKUP(raceday_22_23[[#This Row],[Helper]],'Betcha Integrated'!A:A,'Betcha Integrated'!H:H,0)</f>
        <v>0</v>
      </c>
      <c r="Q252" s="4">
        <v>0.127</v>
      </c>
      <c r="R252" s="4">
        <v>0</v>
      </c>
      <c r="S252" s="18">
        <v>0</v>
      </c>
      <c r="T252" s="10">
        <v>883295</v>
      </c>
      <c r="U252" s="10">
        <v>210675</v>
      </c>
      <c r="V252" s="11">
        <v>0.23899999999999999</v>
      </c>
      <c r="W252" s="12">
        <f>IF(raceday_22_23[[#This Row],[Last Year Turnover]]=0, "No Corresponding PY Meeting", (raceday_22_23[[#This Row],[Betcha Inc. TO]]-raceday_22_23[[#This Row],[Last Year Turnover]])/raceday_22_23[[#This Row],[Last Year Turnover]])</f>
        <v>0.20749806123661971</v>
      </c>
      <c r="X252" s="3">
        <f>MONTH(raceday_22_23[[#This Row],[Raceday Date]])</f>
        <v>6</v>
      </c>
      <c r="Y252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52" s="3" t="str">
        <f>raceday_22_23[[#This Row],[Raceday Date]]&amp;raceday_22_23[[#This Row],[Club]]</f>
        <v>45809Ashburton Trotting Club Inc</v>
      </c>
      <c r="AA252" s="5">
        <f>0.03*raceday_22_23[[#This Row],[Export TO (AUD)]]</f>
        <v>0</v>
      </c>
      <c r="AB252" s="5">
        <f>_xlfn.XLOOKUP(raceday_22_23[[#This Row],[Helper]],'Betcha Integrated'!A:A,'Betcha Integrated'!F:F, 0)</f>
        <v>1066577</v>
      </c>
      <c r="AC252" s="5">
        <f>_xlfn.XLOOKUP(raceday_22_23[[#This Row],[Helper]],'Betcha Integrated'!A:A,'Betcha Integrated'!G:G, 0)</f>
        <v>143716</v>
      </c>
      <c r="AD252" s="5">
        <f>raceday_22_23[[#This Row],[Export Earned]]+raceday_22_23[[#This Row],[Betcha Inc. GBR]]</f>
        <v>143716</v>
      </c>
      <c r="AE252" s="88">
        <f>ROUND(raceday_22_23[[#This Row],[Fav. Win %]]*raceday_22_23[[#This Row],[Races]], 0)</f>
        <v>4</v>
      </c>
    </row>
    <row r="253" spans="1:31" x14ac:dyDescent="0.3">
      <c r="A253" s="8">
        <v>45810</v>
      </c>
      <c r="B253" s="3" t="s">
        <v>99</v>
      </c>
      <c r="C253" s="3" t="s">
        <v>85</v>
      </c>
      <c r="D253" s="3" t="s">
        <v>76</v>
      </c>
      <c r="E253" s="3">
        <v>10</v>
      </c>
      <c r="F253" s="3">
        <v>114</v>
      </c>
      <c r="G253" s="3">
        <v>11.4</v>
      </c>
      <c r="H253" s="4">
        <v>0.4</v>
      </c>
      <c r="I253" s="5">
        <v>120495</v>
      </c>
      <c r="J253" s="5">
        <v>12050</v>
      </c>
      <c r="K253" s="4">
        <v>0.97399999999999998</v>
      </c>
      <c r="L253" s="4">
        <v>0</v>
      </c>
      <c r="M253" s="5">
        <v>802912</v>
      </c>
      <c r="N253" s="5">
        <v>117312</v>
      </c>
      <c r="O253" s="5">
        <v>0</v>
      </c>
      <c r="P253" s="119">
        <f>_xlfn.XLOOKUP(raceday_22_23[[#This Row],[Helper]],'Betcha Integrated'!A:A,'Betcha Integrated'!H:H,0)</f>
        <v>0</v>
      </c>
      <c r="Q253" s="4">
        <v>0.14599999999999999</v>
      </c>
      <c r="R253" s="4">
        <v>0</v>
      </c>
      <c r="S253" s="18">
        <v>0</v>
      </c>
      <c r="T253" s="10">
        <v>668986</v>
      </c>
      <c r="U253" s="10">
        <v>83627</v>
      </c>
      <c r="V253" s="11">
        <v>0.125</v>
      </c>
      <c r="W253" s="12">
        <f>IF(raceday_22_23[[#This Row],[Last Year Turnover]]=0, "No Corresponding PY Meeting", (raceday_22_23[[#This Row],[Betcha Inc. TO]]-raceday_22_23[[#This Row],[Last Year Turnover]])/raceday_22_23[[#This Row],[Last Year Turnover]])</f>
        <v>0.26021172341424187</v>
      </c>
      <c r="X253" s="3">
        <f>MONTH(raceday_22_23[[#This Row],[Raceday Date]])</f>
        <v>6</v>
      </c>
      <c r="Y253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53" s="3" t="str">
        <f>raceday_22_23[[#This Row],[Raceday Date]]&amp;raceday_22_23[[#This Row],[Club]]</f>
        <v>45810Invercargill Harness Racing Club Inc</v>
      </c>
      <c r="AA253" s="5">
        <f>0.03*raceday_22_23[[#This Row],[Export TO (AUD)]]</f>
        <v>0</v>
      </c>
      <c r="AB253" s="5">
        <f>_xlfn.XLOOKUP(raceday_22_23[[#This Row],[Helper]],'Betcha Integrated'!A:A,'Betcha Integrated'!F:F, 0)</f>
        <v>843064</v>
      </c>
      <c r="AC253" s="5">
        <f>_xlfn.XLOOKUP(raceday_22_23[[#This Row],[Helper]],'Betcha Integrated'!A:A,'Betcha Integrated'!G:G, 0)</f>
        <v>122660</v>
      </c>
      <c r="AD253" s="5">
        <f>raceday_22_23[[#This Row],[Export Earned]]+raceday_22_23[[#This Row],[Betcha Inc. GBR]]</f>
        <v>122660</v>
      </c>
      <c r="AE253" s="88">
        <f>ROUND(raceday_22_23[[#This Row],[Fav. Win %]]*raceday_22_23[[#This Row],[Races]], 0)</f>
        <v>4</v>
      </c>
    </row>
    <row r="254" spans="1:31" x14ac:dyDescent="0.3">
      <c r="A254" s="8">
        <v>45813</v>
      </c>
      <c r="B254" s="3" t="s">
        <v>74</v>
      </c>
      <c r="C254" s="3" t="s">
        <v>84</v>
      </c>
      <c r="D254" s="3" t="s">
        <v>79</v>
      </c>
      <c r="E254" s="3">
        <v>7</v>
      </c>
      <c r="F254" s="3">
        <v>50</v>
      </c>
      <c r="G254" s="3">
        <v>7.1</v>
      </c>
      <c r="H254" s="4">
        <v>0.28599999999999998</v>
      </c>
      <c r="I254" s="5">
        <v>51240</v>
      </c>
      <c r="J254" s="5">
        <v>7320</v>
      </c>
      <c r="K254" s="4">
        <v>0.57099999999999995</v>
      </c>
      <c r="L254" s="4">
        <v>0.14299999999999999</v>
      </c>
      <c r="M254" s="5">
        <v>129937</v>
      </c>
      <c r="N254" s="5">
        <v>29275</v>
      </c>
      <c r="O254" s="5">
        <v>0</v>
      </c>
      <c r="P254" s="119">
        <f>_xlfn.XLOOKUP(raceday_22_23[[#This Row],[Helper]],'Betcha Integrated'!A:A,'Betcha Integrated'!H:H,0)</f>
        <v>0</v>
      </c>
      <c r="Q254" s="4">
        <v>0.22500000000000001</v>
      </c>
      <c r="R254" s="4">
        <v>0</v>
      </c>
      <c r="S254" s="18">
        <v>0</v>
      </c>
      <c r="T254" s="10">
        <v>0</v>
      </c>
      <c r="U254" s="10">
        <v>0</v>
      </c>
      <c r="V254" s="11">
        <v>0</v>
      </c>
      <c r="W254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54" s="3">
        <f>MONTH(raceday_22_23[[#This Row],[Raceday Date]])</f>
        <v>6</v>
      </c>
      <c r="Y254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54" s="3" t="str">
        <f>raceday_22_23[[#This Row],[Raceday Date]]&amp;raceday_22_23[[#This Row],[Club]]</f>
        <v>45813Waikato Bay of Plenty Harness Inc</v>
      </c>
      <c r="AA254" s="5">
        <f>0.03*raceday_22_23[[#This Row],[Export TO (AUD)]]</f>
        <v>0</v>
      </c>
      <c r="AB254" s="5">
        <f>_xlfn.XLOOKUP(raceday_22_23[[#This Row],[Helper]],'Betcha Integrated'!A:A,'Betcha Integrated'!F:F, 0)</f>
        <v>342938</v>
      </c>
      <c r="AC254" s="5">
        <f>_xlfn.XLOOKUP(raceday_22_23[[#This Row],[Helper]],'Betcha Integrated'!A:A,'Betcha Integrated'!G:G, 0)</f>
        <v>66817</v>
      </c>
      <c r="AD254" s="5">
        <f>raceday_22_23[[#This Row],[Export Earned]]+raceday_22_23[[#This Row],[Betcha Inc. GBR]]</f>
        <v>66817</v>
      </c>
      <c r="AE254" s="88">
        <f>ROUND(raceday_22_23[[#This Row],[Fav. Win %]]*raceday_22_23[[#This Row],[Races]], 0)</f>
        <v>2</v>
      </c>
    </row>
    <row r="255" spans="1:31" x14ac:dyDescent="0.3">
      <c r="A255" s="8">
        <v>45814</v>
      </c>
      <c r="B255" s="3" t="s">
        <v>77</v>
      </c>
      <c r="C255" s="3" t="s">
        <v>80</v>
      </c>
      <c r="D255" s="3" t="s">
        <v>81</v>
      </c>
      <c r="E255" s="3">
        <v>10</v>
      </c>
      <c r="F255" s="3">
        <v>88</v>
      </c>
      <c r="G255" s="3">
        <v>8.8000000000000007</v>
      </c>
      <c r="H255" s="4">
        <v>0.4</v>
      </c>
      <c r="I255" s="5">
        <v>153831</v>
      </c>
      <c r="J255" s="5">
        <v>15383</v>
      </c>
      <c r="K255" s="4">
        <v>0.45400000000000001</v>
      </c>
      <c r="L255" s="4">
        <v>0</v>
      </c>
      <c r="M255" s="5">
        <v>307052</v>
      </c>
      <c r="N255" s="5">
        <v>69766</v>
      </c>
      <c r="O255" s="5">
        <v>0</v>
      </c>
      <c r="P255" s="119">
        <f>_xlfn.XLOOKUP(raceday_22_23[[#This Row],[Helper]],'Betcha Integrated'!A:A,'Betcha Integrated'!H:H,0)</f>
        <v>0</v>
      </c>
      <c r="Q255" s="4">
        <v>0.22700000000000001</v>
      </c>
      <c r="R255" s="4">
        <v>0</v>
      </c>
      <c r="S255" s="18">
        <v>0</v>
      </c>
      <c r="T255" s="10">
        <v>822052</v>
      </c>
      <c r="U255" s="10">
        <v>65485</v>
      </c>
      <c r="V255" s="11">
        <v>0.08</v>
      </c>
      <c r="W255" s="12">
        <f>IF(raceday_22_23[[#This Row],[Last Year Turnover]]=0, "No Corresponding PY Meeting", (raceday_22_23[[#This Row],[Betcha Inc. TO]]-raceday_22_23[[#This Row],[Last Year Turnover]])/raceday_22_23[[#This Row],[Last Year Turnover]])</f>
        <v>0.15236384073027009</v>
      </c>
      <c r="X255" s="3">
        <f>MONTH(raceday_22_23[[#This Row],[Raceday Date]])</f>
        <v>6</v>
      </c>
      <c r="Y255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55" s="3" t="str">
        <f>raceday_22_23[[#This Row],[Raceday Date]]&amp;raceday_22_23[[#This Row],[Club]]</f>
        <v>45814NZ Metropolitan Trotting Club Inc</v>
      </c>
      <c r="AA255" s="5">
        <f>0.03*raceday_22_23[[#This Row],[Export TO (AUD)]]</f>
        <v>0</v>
      </c>
      <c r="AB255" s="5">
        <f>_xlfn.XLOOKUP(raceday_22_23[[#This Row],[Helper]],'Betcha Integrated'!A:A,'Betcha Integrated'!F:F, 0)</f>
        <v>947303</v>
      </c>
      <c r="AC255" s="5">
        <f>_xlfn.XLOOKUP(raceday_22_23[[#This Row],[Helper]],'Betcha Integrated'!A:A,'Betcha Integrated'!G:G, 0)</f>
        <v>144697</v>
      </c>
      <c r="AD255" s="5">
        <f>raceday_22_23[[#This Row],[Export Earned]]+raceday_22_23[[#This Row],[Betcha Inc. GBR]]</f>
        <v>144697</v>
      </c>
      <c r="AE255" s="88">
        <f>ROUND(raceday_22_23[[#This Row],[Fav. Win %]]*raceday_22_23[[#This Row],[Races]], 0)</f>
        <v>4</v>
      </c>
    </row>
    <row r="256" spans="1:31" x14ac:dyDescent="0.3">
      <c r="A256" s="8">
        <v>45814</v>
      </c>
      <c r="B256" s="3" t="s">
        <v>77</v>
      </c>
      <c r="C256" s="3" t="s">
        <v>78</v>
      </c>
      <c r="D256" s="3" t="s">
        <v>79</v>
      </c>
      <c r="E256" s="3">
        <v>7</v>
      </c>
      <c r="F256" s="3">
        <v>55</v>
      </c>
      <c r="G256" s="3">
        <v>7.9</v>
      </c>
      <c r="H256" s="4">
        <v>0.28599999999999998</v>
      </c>
      <c r="I256" s="5">
        <v>107460</v>
      </c>
      <c r="J256" s="5">
        <v>15351</v>
      </c>
      <c r="K256" s="4">
        <v>0.32400000000000001</v>
      </c>
      <c r="L256" s="4">
        <v>0.14299999999999999</v>
      </c>
      <c r="M256" s="5">
        <v>156398</v>
      </c>
      <c r="N256" s="5">
        <v>34773</v>
      </c>
      <c r="O256" s="5">
        <v>0</v>
      </c>
      <c r="P256" s="119">
        <f>_xlfn.XLOOKUP(raceday_22_23[[#This Row],[Helper]],'Betcha Integrated'!A:A,'Betcha Integrated'!H:H,0)</f>
        <v>0</v>
      </c>
      <c r="Q256" s="4">
        <v>0.222</v>
      </c>
      <c r="R256" s="4">
        <v>0</v>
      </c>
      <c r="S256" s="18">
        <v>0</v>
      </c>
      <c r="T256" s="10">
        <v>0</v>
      </c>
      <c r="U256" s="10">
        <v>0</v>
      </c>
      <c r="V256" s="11">
        <v>0</v>
      </c>
      <c r="W256" s="12" t="str">
        <f>IF(raceday_22_23[[#This Row],[Last Year Turnover]]=0, "No Corresponding PY Meeting", (raceday_22_23[[#This Row],[Betcha Inc. TO]]-raceday_22_23[[#This Row],[Last Year Turnover]])/raceday_22_23[[#This Row],[Last Year Turnover]])</f>
        <v>No Corresponding PY Meeting</v>
      </c>
      <c r="X256" s="3">
        <f>MONTH(raceday_22_23[[#This Row],[Raceday Date]])</f>
        <v>6</v>
      </c>
      <c r="Y256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56" s="3" t="str">
        <f>raceday_22_23[[#This Row],[Raceday Date]]&amp;raceday_22_23[[#This Row],[Club]]</f>
        <v>45814Auckland Trotting Club Inc</v>
      </c>
      <c r="AA256" s="5">
        <f>0.03*raceday_22_23[[#This Row],[Export TO (AUD)]]</f>
        <v>0</v>
      </c>
      <c r="AB256" s="5">
        <f>_xlfn.XLOOKUP(raceday_22_23[[#This Row],[Helper]],'Betcha Integrated'!A:A,'Betcha Integrated'!F:F, 0)</f>
        <v>547236</v>
      </c>
      <c r="AC256" s="5">
        <f>_xlfn.XLOOKUP(raceday_22_23[[#This Row],[Helper]],'Betcha Integrated'!A:A,'Betcha Integrated'!G:G, 0)</f>
        <v>108253</v>
      </c>
      <c r="AD256" s="5">
        <f>raceday_22_23[[#This Row],[Export Earned]]+raceday_22_23[[#This Row],[Betcha Inc. GBR]]</f>
        <v>108253</v>
      </c>
      <c r="AE256" s="88">
        <f>ROUND(raceday_22_23[[#This Row],[Fav. Win %]]*raceday_22_23[[#This Row],[Races]], 0)</f>
        <v>2</v>
      </c>
    </row>
    <row r="257" spans="1:31" x14ac:dyDescent="0.3">
      <c r="A257" s="8">
        <v>45816</v>
      </c>
      <c r="B257" s="3" t="s">
        <v>82</v>
      </c>
      <c r="C257" s="3" t="s">
        <v>80</v>
      </c>
      <c r="D257" s="3" t="s">
        <v>81</v>
      </c>
      <c r="E257" s="3">
        <v>10</v>
      </c>
      <c r="F257" s="3">
        <v>116</v>
      </c>
      <c r="G257" s="3">
        <v>11.6</v>
      </c>
      <c r="H257" s="4">
        <v>0.3</v>
      </c>
      <c r="I257" s="5">
        <v>111905</v>
      </c>
      <c r="J257" s="5">
        <v>11190</v>
      </c>
      <c r="K257" s="4">
        <v>0.621</v>
      </c>
      <c r="L257" s="4">
        <v>0.2</v>
      </c>
      <c r="M257" s="5">
        <v>313366</v>
      </c>
      <c r="N257" s="5">
        <v>69542</v>
      </c>
      <c r="O257" s="5">
        <v>0</v>
      </c>
      <c r="P257" s="119">
        <f>_xlfn.XLOOKUP(raceday_22_23[[#This Row],[Helper]],'Betcha Integrated'!A:A,'Betcha Integrated'!H:H,0)</f>
        <v>0</v>
      </c>
      <c r="Q257" s="4">
        <v>0.222</v>
      </c>
      <c r="R257" s="4">
        <v>0</v>
      </c>
      <c r="S257" s="18">
        <v>0</v>
      </c>
      <c r="T257" s="10">
        <v>886625</v>
      </c>
      <c r="U257" s="10">
        <v>108327</v>
      </c>
      <c r="V257" s="11">
        <v>0.122</v>
      </c>
      <c r="W257" s="12">
        <f>IF(raceday_22_23[[#This Row],[Last Year Turnover]]=0, "No Corresponding PY Meeting", (raceday_22_23[[#This Row],[Betcha Inc. TO]]-raceday_22_23[[#This Row],[Last Year Turnover]])/raceday_22_23[[#This Row],[Last Year Turnover]])</f>
        <v>-1.8941491611447907E-2</v>
      </c>
      <c r="X257" s="3">
        <f>MONTH(raceday_22_23[[#This Row],[Raceday Date]])</f>
        <v>6</v>
      </c>
      <c r="Y257" s="3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Q4</v>
      </c>
      <c r="Z257" s="3" t="str">
        <f>raceday_22_23[[#This Row],[Raceday Date]]&amp;raceday_22_23[[#This Row],[Club]]</f>
        <v>45816NZ Metropolitan Trotting Club Inc</v>
      </c>
      <c r="AA257" s="5">
        <f>0.03*raceday_22_23[[#This Row],[Export TO (AUD)]]</f>
        <v>0</v>
      </c>
      <c r="AB257" s="5">
        <f>_xlfn.XLOOKUP(raceday_22_23[[#This Row],[Helper]],'Betcha Integrated'!A:A,'Betcha Integrated'!F:F, 0)</f>
        <v>869831</v>
      </c>
      <c r="AC257" s="5">
        <f>_xlfn.XLOOKUP(raceday_22_23[[#This Row],[Helper]],'Betcha Integrated'!A:A,'Betcha Integrated'!G:G, 0)</f>
        <v>148075</v>
      </c>
      <c r="AD257" s="5">
        <f>raceday_22_23[[#This Row],[Export Earned]]+raceday_22_23[[#This Row],[Betcha Inc. GBR]]</f>
        <v>148075</v>
      </c>
      <c r="AE257" s="88">
        <f>ROUND(raceday_22_23[[#This Row],[Fav. Win %]]*raceday_22_23[[#This Row],[Races]], 0)</f>
        <v>3</v>
      </c>
    </row>
    <row r="258" spans="1:31" x14ac:dyDescent="0.3">
      <c r="O258" s="4"/>
    </row>
    <row r="259" spans="1:31" x14ac:dyDescent="0.3">
      <c r="G259" s="27"/>
    </row>
    <row r="261" spans="1:31" x14ac:dyDescent="0.3">
      <c r="D261" s="116" t="s">
        <v>121</v>
      </c>
      <c r="E261" s="23">
        <f>SUBTOTAL(9,E2:E257)</f>
        <v>2370</v>
      </c>
      <c r="F261" s="23">
        <f>SUBTOTAL(9,F2:F257)</f>
        <v>23012</v>
      </c>
      <c r="G261" s="123">
        <f>F261/E261</f>
        <v>9.7097046413502106</v>
      </c>
      <c r="H261" s="117">
        <f>AE261/E261</f>
        <v>0.35147679324894515</v>
      </c>
      <c r="I261" s="25">
        <f>SUBTOTAL(9,I2:I257)</f>
        <v>43405699</v>
      </c>
      <c r="J261" s="25">
        <f>SUBTOTAL(9,J2:J257)</f>
        <v>4425631</v>
      </c>
      <c r="K261" s="118"/>
      <c r="L261" s="117"/>
      <c r="M261" s="25">
        <f>SUBTOTAL(9,M2:M257)</f>
        <v>183105738</v>
      </c>
      <c r="N261" s="25">
        <f>SUBTOTAL(9,N2:N257)</f>
        <v>33803635</v>
      </c>
      <c r="O261" s="25">
        <f>SUBTOTAL(9,O2:O257)</f>
        <v>47621750.490000039</v>
      </c>
      <c r="P261" s="25">
        <f>SUBTOTAL(9,P2:P257)</f>
        <v>62499672.920000002</v>
      </c>
      <c r="Q261" s="117"/>
      <c r="R261" s="117"/>
      <c r="S261" s="118"/>
      <c r="T261" s="118"/>
      <c r="U261" s="117"/>
      <c r="V261" s="117"/>
      <c r="W261" s="117"/>
      <c r="X261" s="23"/>
      <c r="Y261" s="23"/>
      <c r="Z261" s="23"/>
      <c r="AA261" s="25">
        <f>SUBTOTAL(9,AA2:AA257)</f>
        <v>1874990.1876000005</v>
      </c>
      <c r="AB261" s="25">
        <f>SUBTOTAL(9,AB2:AB257)</f>
        <v>194506027.33429977</v>
      </c>
      <c r="AC261" s="25">
        <f>SUBTOTAL(9,AC2:AC257)</f>
        <v>35783847.586549968</v>
      </c>
      <c r="AD261" s="25">
        <f>SUBTOTAL(9,AD2:AD257)</f>
        <v>37658837.774149954</v>
      </c>
      <c r="AE261" s="23">
        <f>SUBTOTAL(9,AE2:AE257)</f>
        <v>833</v>
      </c>
    </row>
  </sheetData>
  <phoneticPr fontId="4" type="noConversion"/>
  <pageMargins left="0.31496062992125984" right="0.31496062992125984" top="0.55118110236220474" bottom="0.55118110236220474" header="0.31496062992125984" footer="0.31496062992125984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40"/>
  <sheetViews>
    <sheetView topLeftCell="K5" workbookViewId="0">
      <selection activeCell="K5" sqref="K5"/>
    </sheetView>
  </sheetViews>
  <sheetFormatPr defaultColWidth="9.109375" defaultRowHeight="14.4" x14ac:dyDescent="0.3"/>
  <cols>
    <col min="1" max="1" width="15.33203125" style="3" bestFit="1" customWidth="1"/>
    <col min="2" max="2" width="31.6640625" style="3" bestFit="1" customWidth="1"/>
    <col min="3" max="3" width="11.109375" style="3" bestFit="1" customWidth="1"/>
    <col min="4" max="4" width="8" style="3" bestFit="1" customWidth="1"/>
    <col min="5" max="5" width="9.6640625" style="3" bestFit="1" customWidth="1"/>
    <col min="6" max="6" width="9.33203125" style="4" bestFit="1" customWidth="1"/>
    <col min="7" max="7" width="12.33203125" style="5" bestFit="1" customWidth="1"/>
    <col min="8" max="8" width="14.6640625" style="5" bestFit="1" customWidth="1"/>
    <col min="9" max="9" width="11.44140625" style="4" bestFit="1" customWidth="1"/>
    <col min="10" max="10" width="13.6640625" style="4" bestFit="1" customWidth="1"/>
    <col min="11" max="11" width="10.88671875" style="5" bestFit="1" customWidth="1"/>
    <col min="12" max="12" width="9.88671875" style="5" bestFit="1" customWidth="1"/>
    <col min="13" max="13" width="10.88671875" style="5" bestFit="1" customWidth="1"/>
    <col min="14" max="14" width="17.109375" style="4" bestFit="1" customWidth="1"/>
    <col min="15" max="15" width="11.33203125" style="6" bestFit="1" customWidth="1"/>
    <col min="16" max="16" width="15.88671875" style="4" bestFit="1" customWidth="1"/>
    <col min="17" max="17" width="20.33203125" style="4" bestFit="1" customWidth="1"/>
    <col min="18" max="18" width="20.88671875" style="21" bestFit="1" customWidth="1"/>
    <col min="19" max="19" width="15" style="4" bestFit="1" customWidth="1"/>
    <col min="20" max="20" width="14" style="3" bestFit="1" customWidth="1"/>
    <col min="21" max="21" width="13" style="3" bestFit="1" customWidth="1"/>
    <col min="22" max="22" width="15.109375" style="3" bestFit="1" customWidth="1"/>
    <col min="23" max="23" width="16.109375" style="3" bestFit="1" customWidth="1"/>
    <col min="24" max="24" width="15.109375" style="3" bestFit="1" customWidth="1"/>
    <col min="25" max="25" width="14" style="3" bestFit="1" customWidth="1"/>
    <col min="26" max="26" width="17" style="3" bestFit="1" customWidth="1"/>
    <col min="27" max="27" width="10.88671875" style="3" bestFit="1" customWidth="1"/>
    <col min="28" max="28" width="12.109375" style="3" bestFit="1" customWidth="1"/>
    <col min="29" max="29" width="18.44140625" style="3" bestFit="1" customWidth="1"/>
    <col min="30" max="30" width="20.88671875" style="3" bestFit="1" customWidth="1"/>
    <col min="31" max="31" width="12.44140625" style="3" bestFit="1" customWidth="1"/>
    <col min="32" max="32" width="12.5546875" style="3" bestFit="1" customWidth="1"/>
    <col min="33" max="33" width="18.109375" style="3" bestFit="1" customWidth="1"/>
    <col min="34" max="16384" width="9.109375" style="3"/>
  </cols>
  <sheetData>
    <row r="1" spans="1:20" ht="28.8" x14ac:dyDescent="0.3">
      <c r="A1" s="14" t="s">
        <v>122</v>
      </c>
      <c r="B1" s="14" t="s">
        <v>123</v>
      </c>
      <c r="C1" t="s">
        <v>124</v>
      </c>
      <c r="D1" s="14" t="s">
        <v>49</v>
      </c>
      <c r="E1" s="14" t="s">
        <v>50</v>
      </c>
      <c r="F1" s="14" t="s">
        <v>51</v>
      </c>
      <c r="G1" s="15" t="s">
        <v>52</v>
      </c>
      <c r="H1" s="16" t="s">
        <v>53</v>
      </c>
      <c r="I1" s="16" t="s">
        <v>54</v>
      </c>
      <c r="J1" s="15" t="s">
        <v>55</v>
      </c>
      <c r="K1" s="16" t="s">
        <v>56</v>
      </c>
      <c r="L1" s="16" t="s">
        <v>57</v>
      </c>
      <c r="M1" s="16" t="s">
        <v>12</v>
      </c>
      <c r="N1" s="16" t="s">
        <v>58</v>
      </c>
      <c r="O1" s="15" t="s">
        <v>59</v>
      </c>
      <c r="P1" s="17" t="s">
        <v>60</v>
      </c>
      <c r="Q1" s="11" t="s">
        <v>61</v>
      </c>
      <c r="R1" s="22" t="s">
        <v>125</v>
      </c>
      <c r="S1" s="14" t="s">
        <v>29</v>
      </c>
      <c r="T1" s="14" t="s">
        <v>126</v>
      </c>
    </row>
    <row r="2" spans="1:20" x14ac:dyDescent="0.3">
      <c r="A2" s="3" t="s">
        <v>127</v>
      </c>
      <c r="B2" s="3" t="s">
        <v>101</v>
      </c>
      <c r="C2" s="26">
        <f>COUNTIF('Raceday Breakdown'!C:C,club_summary_data_22_23[[#This Row],[Club Name]])</f>
        <v>18</v>
      </c>
      <c r="D2" s="3">
        <f>SUMIF('Raceday Breakdown'!C:C,club_summary_data_22_23[[#This Row],[Club Name]],'Raceday Breakdown'!E:E)</f>
        <v>128</v>
      </c>
      <c r="E2" s="3">
        <f>SUMIF('Raceday Breakdown'!C:C,club_summary_data_22_23[[#This Row],[Club Name]],'Raceday Breakdown'!F:F)</f>
        <v>1012</v>
      </c>
      <c r="F2" s="28">
        <f>club_summary_data_22_23[[#This Row],[Starters]]/club_summary_data_22_23[[#This Row],[Races]]</f>
        <v>7.90625</v>
      </c>
      <c r="G2" s="4">
        <f>SUMIF('Raceday Breakdown'!C:C,club_summary_data_22_23[[#This Row],[Club Name]],'Raceday Breakdown'!AE:AE)/club_summary_data_22_23[[#This Row],[Races]]</f>
        <v>0.390625</v>
      </c>
      <c r="H2" s="5">
        <f>SUMIF('Raceday Breakdown'!C:C,club_summary_data_22_23[[#This Row],[Club Name]],'Raceday Breakdown'!I:I)</f>
        <v>1405006</v>
      </c>
      <c r="I2" s="5">
        <f>club_summary_data_22_23[[#This Row],[HRNZ Funded Stakes]]/club_summary_data_22_23[[#This Row],[Races]]</f>
        <v>10976.609375</v>
      </c>
      <c r="J2" s="4">
        <f>club_summary_data_22_23[[#This Row],[GBR]]/club_summary_data_22_23[[#This Row],[HRNZ Funded Stakes]]</f>
        <v>0.84102379470265554</v>
      </c>
      <c r="K2" s="5">
        <f>SUMIF('Raceday Breakdown'!C:C,club_summary_data_22_23[[#This Row],[Club Name]],'Raceday Breakdown'!AB:AB)</f>
        <v>5881135.6367999949</v>
      </c>
      <c r="L2" s="5">
        <f>SUMIF('Raceday Breakdown'!C:C,club_summary_data_22_23[[#This Row],[Club Name]],'Raceday Breakdown'!AC:AC)</f>
        <v>1181643.4776999992</v>
      </c>
      <c r="M2" s="5">
        <f>SUMIF('Raceday Breakdown'!C:C,club_summary_data_22_23[[#This Row],[Club Name]],'Raceday Breakdown'!O:O)</f>
        <v>1681714.6500000004</v>
      </c>
      <c r="N2" s="5">
        <f>SUMIF('Raceday Breakdown'!C:C,club_summary_data_22_23[[#This Row],[Club Name]],'Raceday Breakdown'!P:P)</f>
        <v>3259477.07</v>
      </c>
      <c r="O2" s="4">
        <f>club_summary_data_22_23[[#This Row],[GBR]]/club_summary_data_22_23[[#This Row],[Turnover]]</f>
        <v>0.20092097014496801</v>
      </c>
      <c r="P2" s="4">
        <f>club_summary_data_22_23[[#This Row],[GBR]]/club_summary_data_22_23[[#This Row],[Funding]]</f>
        <v>0.7026420788449449</v>
      </c>
      <c r="Q2" s="11">
        <f>club_summary_data_22_23[[#This Row],[Turnover]]/club_summary_data_22_23[[#This Row],[Funding]]</f>
        <v>3.4971067397194844</v>
      </c>
      <c r="R2" s="20">
        <f>club_summary_data_22_23[[#This Row],[Turnover]]/club_summary_data_22_23[[#This Row],[Races]]</f>
        <v>45946.37216249996</v>
      </c>
      <c r="S2" s="9">
        <f>0.03*club_summary_data_22_23[[#This Row],[Export TO (AUD)]]</f>
        <v>97784.312099999996</v>
      </c>
      <c r="T2" s="5">
        <f>club_summary_data_22_23[[#This Row],[GBR]]+club_summary_data_22_23[[#This Row],[Export Earned (AUD)]]</f>
        <v>1279427.7897999992</v>
      </c>
    </row>
    <row r="3" spans="1:20" x14ac:dyDescent="0.3">
      <c r="A3" s="3" t="s">
        <v>127</v>
      </c>
      <c r="B3" s="3" t="s">
        <v>84</v>
      </c>
      <c r="C3" s="26">
        <f>COUNTIF('Raceday Breakdown'!C:C,club_summary_data_22_23[[#This Row],[Club Name]])</f>
        <v>33</v>
      </c>
      <c r="D3" s="3">
        <f>SUMIF('Raceday Breakdown'!C:C,club_summary_data_22_23[[#This Row],[Club Name]],'Raceday Breakdown'!E:E)</f>
        <v>251</v>
      </c>
      <c r="E3" s="3">
        <f>SUMIF('Raceday Breakdown'!C:C,club_summary_data_22_23[[#This Row],[Club Name]],'Raceday Breakdown'!F:F)</f>
        <v>2069</v>
      </c>
      <c r="F3" s="28">
        <f>club_summary_data_22_23[[#This Row],[Starters]]/club_summary_data_22_23[[#This Row],[Races]]</f>
        <v>8.2430278884462158</v>
      </c>
      <c r="G3" s="4">
        <f>SUMIF('Raceday Breakdown'!C:C,club_summary_data_22_23[[#This Row],[Club Name]],'Raceday Breakdown'!AE:AE)/club_summary_data_22_23[[#This Row],[Races]]</f>
        <v>0.35059760956175301</v>
      </c>
      <c r="H3" s="5">
        <f>SUMIF('Raceday Breakdown'!C:C,club_summary_data_22_23[[#This Row],[Club Name]],'Raceday Breakdown'!I:I)</f>
        <v>3462397</v>
      </c>
      <c r="I3" s="5">
        <f>club_summary_data_22_23[[#This Row],[HRNZ Funded Stakes]]/club_summary_data_22_23[[#This Row],[Races]]</f>
        <v>13794.410358565738</v>
      </c>
      <c r="J3" s="4">
        <f>club_summary_data_22_23[[#This Row],[GBR]]/club_summary_data_22_23[[#This Row],[HRNZ Funded Stakes]]</f>
        <v>0.80738072364318636</v>
      </c>
      <c r="K3" s="5">
        <f>SUMIF('Raceday Breakdown'!C:C,club_summary_data_22_23[[#This Row],[Club Name]],'Raceday Breakdown'!AB:AB)</f>
        <v>14605242.419499984</v>
      </c>
      <c r="L3" s="5">
        <f>SUMIF('Raceday Breakdown'!C:C,club_summary_data_22_23[[#This Row],[Club Name]],'Raceday Breakdown'!AC:AC)</f>
        <v>2795472.5953999977</v>
      </c>
      <c r="M3" s="5">
        <f>SUMIF('Raceday Breakdown'!C:C,club_summary_data_22_23[[#This Row],[Club Name]],'Raceday Breakdown'!O:O)</f>
        <v>4037068.450000002</v>
      </c>
      <c r="N3" s="5">
        <f>SUMIF('Raceday Breakdown'!C:C,club_summary_data_22_23[[#This Row],[Club Name]],'Raceday Breakdown'!P:P)</f>
        <v>7151461.3099999996</v>
      </c>
      <c r="O3" s="4">
        <f>club_summary_data_22_23[[#This Row],[GBR]]/club_summary_data_22_23[[#This Row],[Turnover]]</f>
        <v>0.19140199902931168</v>
      </c>
      <c r="P3" s="4">
        <f>club_summary_data_22_23[[#This Row],[GBR]]/club_summary_data_22_23[[#This Row],[Funding]]</f>
        <v>0.69245112636125761</v>
      </c>
      <c r="Q3" s="11">
        <f>club_summary_data_22_23[[#This Row],[Turnover]]/club_summary_data_22_23[[#This Row],[Funding]]</f>
        <v>3.617784191769148</v>
      </c>
      <c r="R3" s="20">
        <f>club_summary_data_22_23[[#This Row],[Turnover]]/club_summary_data_22_23[[#This Row],[Races]]</f>
        <v>58188.216810756909</v>
      </c>
      <c r="S3" s="9">
        <f>0.03*club_summary_data_22_23[[#This Row],[Export TO (AUD)]]</f>
        <v>214543.83929999999</v>
      </c>
      <c r="T3" s="5">
        <f>club_summary_data_22_23[[#This Row],[GBR]]+club_summary_data_22_23[[#This Row],[Export Earned (AUD)]]</f>
        <v>3010016.4346999978</v>
      </c>
    </row>
    <row r="4" spans="1:20" x14ac:dyDescent="0.3">
      <c r="A4" s="3" t="s">
        <v>127</v>
      </c>
      <c r="B4" s="3" t="s">
        <v>100</v>
      </c>
      <c r="C4" s="26">
        <f>COUNTIF('Raceday Breakdown'!C:C,club_summary_data_22_23[[#This Row],[Club Name]])</f>
        <v>2</v>
      </c>
      <c r="D4" s="3">
        <f>SUMIF('Raceday Breakdown'!C:C,club_summary_data_22_23[[#This Row],[Club Name]],'Raceday Breakdown'!E:E)</f>
        <v>18</v>
      </c>
      <c r="E4" s="3">
        <f>SUMIF('Raceday Breakdown'!C:C,club_summary_data_22_23[[#This Row],[Club Name]],'Raceday Breakdown'!F:F)</f>
        <v>149</v>
      </c>
      <c r="F4" s="28">
        <f>club_summary_data_22_23[[#This Row],[Starters]]/club_summary_data_22_23[[#This Row],[Races]]</f>
        <v>8.2777777777777786</v>
      </c>
      <c r="G4" s="4">
        <f>SUMIF('Raceday Breakdown'!C:C,club_summary_data_22_23[[#This Row],[Club Name]],'Raceday Breakdown'!AE:AE)/club_summary_data_22_23[[#This Row],[Races]]</f>
        <v>0.3888888888888889</v>
      </c>
      <c r="H4" s="5">
        <f>SUMIF('Raceday Breakdown'!C:C,club_summary_data_22_23[[#This Row],[Club Name]],'Raceday Breakdown'!I:I)</f>
        <v>357341</v>
      </c>
      <c r="I4" s="5">
        <f>club_summary_data_22_23[[#This Row],[HRNZ Funded Stakes]]/club_summary_data_22_23[[#This Row],[Races]]</f>
        <v>19852.277777777777</v>
      </c>
      <c r="J4" s="4">
        <f>club_summary_data_22_23[[#This Row],[GBR]]/club_summary_data_22_23[[#This Row],[HRNZ Funded Stakes]]</f>
        <v>1.3817526963040907</v>
      </c>
      <c r="K4" s="5">
        <f>SUMIF('Raceday Breakdown'!C:C,club_summary_data_22_23[[#This Row],[Club Name]],'Raceday Breakdown'!AB:AB)</f>
        <v>2352947.3880000003</v>
      </c>
      <c r="L4" s="5">
        <f>SUMIF('Raceday Breakdown'!C:C,club_summary_data_22_23[[#This Row],[Club Name]],'Raceday Breakdown'!AC:AC)</f>
        <v>493756.89025000005</v>
      </c>
      <c r="M4" s="5">
        <f>SUMIF('Raceday Breakdown'!C:C,club_summary_data_22_23[[#This Row],[Club Name]],'Raceday Breakdown'!O:O)</f>
        <v>475405.5</v>
      </c>
      <c r="N4" s="5">
        <f>SUMIF('Raceday Breakdown'!C:C,club_summary_data_22_23[[#This Row],[Club Name]],'Raceday Breakdown'!P:P)</f>
        <v>605367</v>
      </c>
      <c r="O4" s="4">
        <f>club_summary_data_22_23[[#This Row],[GBR]]/club_summary_data_22_23[[#This Row],[Turnover]]</f>
        <v>0.20984612438346623</v>
      </c>
      <c r="P4" s="4">
        <f>club_summary_data_22_23[[#This Row],[GBR]]/club_summary_data_22_23[[#This Row],[Funding]]</f>
        <v>1.038601552253813</v>
      </c>
      <c r="Q4" s="11">
        <f>club_summary_data_22_23[[#This Row],[Turnover]]/club_summary_data_22_23[[#This Row],[Funding]]</f>
        <v>4.9493482679523062</v>
      </c>
      <c r="R4" s="20">
        <f>club_summary_data_22_23[[#This Row],[Turnover]]/club_summary_data_22_23[[#This Row],[Races]]</f>
        <v>130719.29933333334</v>
      </c>
      <c r="S4" s="9">
        <f>0.03*club_summary_data_22_23[[#This Row],[Export TO (AUD)]]</f>
        <v>18161.009999999998</v>
      </c>
      <c r="T4" s="5">
        <f>club_summary_data_22_23[[#This Row],[GBR]]+club_summary_data_22_23[[#This Row],[Export Earned (AUD)]]</f>
        <v>511917.90025000006</v>
      </c>
    </row>
    <row r="5" spans="1:20" x14ac:dyDescent="0.3">
      <c r="A5" s="3" t="s">
        <v>127</v>
      </c>
      <c r="B5" s="3" t="s">
        <v>78</v>
      </c>
      <c r="C5" s="26">
        <f>COUNTIF('Raceday Breakdown'!C:C,club_summary_data_22_23[[#This Row],[Club Name]])</f>
        <v>38</v>
      </c>
      <c r="D5" s="3">
        <f>SUMIF('Raceday Breakdown'!C:C,club_summary_data_22_23[[#This Row],[Club Name]],'Raceday Breakdown'!E:E)</f>
        <v>336</v>
      </c>
      <c r="E5" s="3">
        <f>SUMIF('Raceday Breakdown'!C:C,club_summary_data_22_23[[#This Row],[Club Name]],'Raceday Breakdown'!F:F)</f>
        <v>2822</v>
      </c>
      <c r="F5" s="28">
        <f>club_summary_data_22_23[[#This Row],[Starters]]/club_summary_data_22_23[[#This Row],[Races]]</f>
        <v>8.3988095238095237</v>
      </c>
      <c r="G5" s="4">
        <f>SUMIF('Raceday Breakdown'!C:C,club_summary_data_22_23[[#This Row],[Club Name]],'Raceday Breakdown'!AE:AE)/club_summary_data_22_23[[#This Row],[Races]]</f>
        <v>0.3482142857142857</v>
      </c>
      <c r="H5" s="5">
        <f>SUMIF('Raceday Breakdown'!C:C,club_summary_data_22_23[[#This Row],[Club Name]],'Raceday Breakdown'!I:I)</f>
        <v>8490124</v>
      </c>
      <c r="I5" s="5">
        <f>club_summary_data_22_23[[#This Row],[HRNZ Funded Stakes]]/club_summary_data_22_23[[#This Row],[Races]]</f>
        <v>25268.226190476191</v>
      </c>
      <c r="J5" s="4">
        <f>club_summary_data_22_23[[#This Row],[GBR]]/club_summary_data_22_23[[#This Row],[HRNZ Funded Stakes]]</f>
        <v>0.54405550872990749</v>
      </c>
      <c r="K5" s="5">
        <f>SUMIF('Raceday Breakdown'!C:C,club_summary_data_22_23[[#This Row],[Club Name]],'Raceday Breakdown'!AB:AB)</f>
        <v>25500863.145499986</v>
      </c>
      <c r="L5" s="5">
        <f>SUMIF('Raceday Breakdown'!C:C,club_summary_data_22_23[[#This Row],[Club Name]],'Raceday Breakdown'!AC:AC)</f>
        <v>4619098.731999997</v>
      </c>
      <c r="M5" s="5">
        <f>SUMIF('Raceday Breakdown'!C:C,club_summary_data_22_23[[#This Row],[Club Name]],'Raceday Breakdown'!O:O)</f>
        <v>8965459.9899999984</v>
      </c>
      <c r="N5" s="5">
        <f>SUMIF('Raceday Breakdown'!C:C,club_summary_data_22_23[[#This Row],[Club Name]],'Raceday Breakdown'!P:P)</f>
        <v>8648938.0600000005</v>
      </c>
      <c r="O5" s="4">
        <f>club_summary_data_22_23[[#This Row],[GBR]]/club_summary_data_22_23[[#This Row],[Turnover]]</f>
        <v>0.1811349955350475</v>
      </c>
      <c r="P5" s="4">
        <f>club_summary_data_22_23[[#This Row],[GBR]]/club_summary_data_22_23[[#This Row],[Funding]]</f>
        <v>0.5152104562568014</v>
      </c>
      <c r="Q5" s="11">
        <f>club_summary_data_22_23[[#This Row],[Turnover]]/club_summary_data_22_23[[#This Row],[Funding]]</f>
        <v>2.8443452063746246</v>
      </c>
      <c r="R5" s="20">
        <f>club_summary_data_22_23[[#This Row],[Turnover]]/club_summary_data_22_23[[#This Row],[Races]]</f>
        <v>75895.426028273767</v>
      </c>
      <c r="S5" s="9">
        <f>0.03*club_summary_data_22_23[[#This Row],[Export TO (AUD)]]</f>
        <v>259468.14180000001</v>
      </c>
      <c r="T5" s="5">
        <f>club_summary_data_22_23[[#This Row],[GBR]]+club_summary_data_22_23[[#This Row],[Export Earned (AUD)]]</f>
        <v>4878566.8737999974</v>
      </c>
    </row>
    <row r="6" spans="1:20" x14ac:dyDescent="0.3">
      <c r="A6" s="3" t="s">
        <v>127</v>
      </c>
      <c r="B6" s="3" t="s">
        <v>110</v>
      </c>
      <c r="C6" s="26">
        <f>COUNTIF('Raceday Breakdown'!C:C,club_summary_data_22_23[[#This Row],[Club Name]])</f>
        <v>3</v>
      </c>
      <c r="D6" s="3">
        <f>SUMIF('Raceday Breakdown'!C:C,club_summary_data_22_23[[#This Row],[Club Name]],'Raceday Breakdown'!E:E)</f>
        <v>20</v>
      </c>
      <c r="E6" s="3">
        <f>SUMIF('Raceday Breakdown'!C:C,club_summary_data_22_23[[#This Row],[Club Name]],'Raceday Breakdown'!F:F)</f>
        <v>169</v>
      </c>
      <c r="F6" s="28">
        <f>club_summary_data_22_23[[#This Row],[Starters]]/club_summary_data_22_23[[#This Row],[Races]]</f>
        <v>8.4499999999999993</v>
      </c>
      <c r="G6" s="4">
        <f>SUMIF('Raceday Breakdown'!C:C,club_summary_data_22_23[[#This Row],[Club Name]],'Raceday Breakdown'!AE:AE)/club_summary_data_22_23[[#This Row],[Races]]</f>
        <v>0.35</v>
      </c>
      <c r="H6" s="5">
        <f>SUMIF('Raceday Breakdown'!C:C,club_summary_data_22_23[[#This Row],[Club Name]],'Raceday Breakdown'!I:I)</f>
        <v>233433</v>
      </c>
      <c r="I6" s="5">
        <f>club_summary_data_22_23[[#This Row],[HRNZ Funded Stakes]]/club_summary_data_22_23[[#This Row],[Races]]</f>
        <v>11671.65</v>
      </c>
      <c r="J6" s="4">
        <f>club_summary_data_22_23[[#This Row],[GBR]]/club_summary_data_22_23[[#This Row],[HRNZ Funded Stakes]]</f>
        <v>0.79280975911717622</v>
      </c>
      <c r="K6" s="5">
        <f>SUMIF('Raceday Breakdown'!C:C,club_summary_data_22_23[[#This Row],[Club Name]],'Raceday Breakdown'!AB:AB)</f>
        <v>920127.26909999899</v>
      </c>
      <c r="L6" s="5">
        <f>SUMIF('Raceday Breakdown'!C:C,club_summary_data_22_23[[#This Row],[Club Name]],'Raceday Breakdown'!AC:AC)</f>
        <v>185067.96049999978</v>
      </c>
      <c r="M6" s="5">
        <f>SUMIF('Raceday Breakdown'!C:C,club_summary_data_22_23[[#This Row],[Club Name]],'Raceday Breakdown'!O:O)</f>
        <v>290159.37</v>
      </c>
      <c r="N6" s="5">
        <f>SUMIF('Raceday Breakdown'!C:C,club_summary_data_22_23[[#This Row],[Club Name]],'Raceday Breakdown'!P:P)</f>
        <v>411102</v>
      </c>
      <c r="O6" s="4">
        <f>club_summary_data_22_23[[#This Row],[GBR]]/club_summary_data_22_23[[#This Row],[Turnover]]</f>
        <v>0.20113300269974577</v>
      </c>
      <c r="P6" s="4">
        <f>club_summary_data_22_23[[#This Row],[GBR]]/club_summary_data_22_23[[#This Row],[Funding]]</f>
        <v>0.63781486877366667</v>
      </c>
      <c r="Q6" s="11">
        <f>club_summary_data_22_23[[#This Row],[Turnover]]/club_summary_data_22_23[[#This Row],[Funding]]</f>
        <v>3.1711099631212978</v>
      </c>
      <c r="R6" s="20">
        <f>club_summary_data_22_23[[#This Row],[Turnover]]/club_summary_data_22_23[[#This Row],[Races]]</f>
        <v>46006.363454999948</v>
      </c>
      <c r="S6" s="9">
        <f>0.03*club_summary_data_22_23[[#This Row],[Export TO (AUD)]]</f>
        <v>12333.06</v>
      </c>
      <c r="T6" s="5">
        <f>club_summary_data_22_23[[#This Row],[GBR]]+club_summary_data_22_23[[#This Row],[Export Earned (AUD)]]</f>
        <v>197401.02049999978</v>
      </c>
    </row>
    <row r="7" spans="1:20" x14ac:dyDescent="0.3">
      <c r="A7" s="3" t="s">
        <v>127</v>
      </c>
      <c r="B7" s="3" t="s">
        <v>111</v>
      </c>
      <c r="C7" s="26">
        <f>COUNTIF('Raceday Breakdown'!C:C,club_summary_data_22_23[[#This Row],[Club Name]])</f>
        <v>2</v>
      </c>
      <c r="D7" s="3">
        <f>SUMIF('Raceday Breakdown'!C:C,club_summary_data_22_23[[#This Row],[Club Name]],'Raceday Breakdown'!E:E)</f>
        <v>21</v>
      </c>
      <c r="E7" s="3">
        <f>SUMIF('Raceday Breakdown'!C:C,club_summary_data_22_23[[#This Row],[Club Name]],'Raceday Breakdown'!F:F)</f>
        <v>180</v>
      </c>
      <c r="F7" s="28">
        <f>club_summary_data_22_23[[#This Row],[Starters]]/club_summary_data_22_23[[#This Row],[Races]]</f>
        <v>8.5714285714285712</v>
      </c>
      <c r="G7" s="4">
        <f>SUMIF('Raceday Breakdown'!C:C,club_summary_data_22_23[[#This Row],[Club Name]],'Raceday Breakdown'!AE:AE)/club_summary_data_22_23[[#This Row],[Races]]</f>
        <v>0.52380952380952384</v>
      </c>
      <c r="H7" s="5">
        <f>SUMIF('Raceday Breakdown'!C:C,club_summary_data_22_23[[#This Row],[Club Name]],'Raceday Breakdown'!I:I)</f>
        <v>280352</v>
      </c>
      <c r="I7" s="5">
        <f>club_summary_data_22_23[[#This Row],[HRNZ Funded Stakes]]/club_summary_data_22_23[[#This Row],[Races]]</f>
        <v>13350.095238095239</v>
      </c>
      <c r="J7" s="4">
        <f>club_summary_data_22_23[[#This Row],[GBR]]/club_summary_data_22_23[[#This Row],[HRNZ Funded Stakes]]</f>
        <v>0.71828940581839906</v>
      </c>
      <c r="K7" s="5">
        <f>SUMIF('Raceday Breakdown'!C:C,club_summary_data_22_23[[#This Row],[Club Name]],'Raceday Breakdown'!AB:AB)</f>
        <v>2310635.563399998</v>
      </c>
      <c r="L7" s="5">
        <f>SUMIF('Raceday Breakdown'!C:C,club_summary_data_22_23[[#This Row],[Club Name]],'Raceday Breakdown'!AC:AC)</f>
        <v>201373.8714999998</v>
      </c>
      <c r="M7" s="5">
        <f>SUMIF('Raceday Breakdown'!C:C,club_summary_data_22_23[[#This Row],[Club Name]],'Raceday Breakdown'!O:O)</f>
        <v>359477.23</v>
      </c>
      <c r="N7" s="5">
        <f>SUMIF('Raceday Breakdown'!C:C,club_summary_data_22_23[[#This Row],[Club Name]],'Raceday Breakdown'!P:P)</f>
        <v>492348</v>
      </c>
      <c r="O7" s="4">
        <f>club_summary_data_22_23[[#This Row],[GBR]]/club_summary_data_22_23[[#This Row],[Turnover]]</f>
        <v>8.7150857837437187E-2</v>
      </c>
      <c r="P7" s="4">
        <f>club_summary_data_22_23[[#This Row],[GBR]]/club_summary_data_22_23[[#This Row],[Funding]]</f>
        <v>0.56018533218362621</v>
      </c>
      <c r="Q7" s="11">
        <f>club_summary_data_22_23[[#This Row],[Turnover]]/club_summary_data_22_23[[#This Row],[Funding]]</f>
        <v>6.427766129721201</v>
      </c>
      <c r="R7" s="20">
        <f>club_summary_data_22_23[[#This Row],[Turnover]]/club_summary_data_22_23[[#This Row],[Races]]</f>
        <v>110030.26492380943</v>
      </c>
      <c r="S7" s="9">
        <f>0.03*club_summary_data_22_23[[#This Row],[Export TO (AUD)]]</f>
        <v>14770.439999999999</v>
      </c>
      <c r="T7" s="5">
        <f>club_summary_data_22_23[[#This Row],[GBR]]+club_summary_data_22_23[[#This Row],[Export Earned (AUD)]]</f>
        <v>216144.31149999981</v>
      </c>
    </row>
    <row r="8" spans="1:20" x14ac:dyDescent="0.3">
      <c r="A8" s="3" t="s">
        <v>127</v>
      </c>
      <c r="B8" s="3" t="s">
        <v>108</v>
      </c>
      <c r="C8" s="26">
        <f>COUNTIF('Raceday Breakdown'!C:C,club_summary_data_22_23[[#This Row],[Club Name]])</f>
        <v>1</v>
      </c>
      <c r="D8" s="3">
        <f>SUMIF('Raceday Breakdown'!C:C,club_summary_data_22_23[[#This Row],[Club Name]],'Raceday Breakdown'!E:E)</f>
        <v>4</v>
      </c>
      <c r="E8" s="3">
        <f>SUMIF('Raceday Breakdown'!C:C,club_summary_data_22_23[[#This Row],[Club Name]],'Raceday Breakdown'!F:F)</f>
        <v>35</v>
      </c>
      <c r="F8" s="28">
        <f>club_summary_data_22_23[[#This Row],[Starters]]/club_summary_data_22_23[[#This Row],[Races]]</f>
        <v>8.75</v>
      </c>
      <c r="G8" s="4">
        <f>SUMIF('Raceday Breakdown'!C:C,club_summary_data_22_23[[#This Row],[Club Name]],'Raceday Breakdown'!AE:AE)/club_summary_data_22_23[[#This Row],[Races]]</f>
        <v>0</v>
      </c>
      <c r="H8" s="5">
        <f>SUMIF('Raceday Breakdown'!C:C,club_summary_data_22_23[[#This Row],[Club Name]],'Raceday Breakdown'!I:I)</f>
        <v>39612</v>
      </c>
      <c r="I8" s="5">
        <f>club_summary_data_22_23[[#This Row],[HRNZ Funded Stakes]]/club_summary_data_22_23[[#This Row],[Races]]</f>
        <v>9903</v>
      </c>
      <c r="J8" s="4">
        <f>club_summary_data_22_23[[#This Row],[GBR]]/club_summary_data_22_23[[#This Row],[HRNZ Funded Stakes]]</f>
        <v>1.5241057608805413</v>
      </c>
      <c r="K8" s="5">
        <f>SUMIF('Raceday Breakdown'!C:C,club_summary_data_22_23[[#This Row],[Club Name]],'Raceday Breakdown'!AB:AB)</f>
        <v>205857.7996</v>
      </c>
      <c r="L8" s="5">
        <f>SUMIF('Raceday Breakdown'!C:C,club_summary_data_22_23[[#This Row],[Club Name]],'Raceday Breakdown'!AC:AC)</f>
        <v>60372.877399999998</v>
      </c>
      <c r="M8" s="5">
        <f>SUMIF('Raceday Breakdown'!C:C,club_summary_data_22_23[[#This Row],[Club Name]],'Raceday Breakdown'!O:O)</f>
        <v>59119.79</v>
      </c>
      <c r="N8" s="5">
        <f>SUMIF('Raceday Breakdown'!C:C,club_summary_data_22_23[[#This Row],[Club Name]],'Raceday Breakdown'!P:P)</f>
        <v>57703</v>
      </c>
      <c r="O8" s="4">
        <f>club_summary_data_22_23[[#This Row],[GBR]]/club_summary_data_22_23[[#This Row],[Turnover]]</f>
        <v>0.29327466589708945</v>
      </c>
      <c r="P8" s="4">
        <f>club_summary_data_22_23[[#This Row],[GBR]]/club_summary_data_22_23[[#This Row],[Funding]]</f>
        <v>1.0211957349645524</v>
      </c>
      <c r="Q8" s="11">
        <f>club_summary_data_22_23[[#This Row],[Turnover]]/club_summary_data_22_23[[#This Row],[Funding]]</f>
        <v>3.4820455147083571</v>
      </c>
      <c r="R8" s="20">
        <f>club_summary_data_22_23[[#This Row],[Turnover]]/club_summary_data_22_23[[#This Row],[Races]]</f>
        <v>51464.4499</v>
      </c>
      <c r="S8" s="9">
        <f>0.03*club_summary_data_22_23[[#This Row],[Export TO (AUD)]]</f>
        <v>1731.09</v>
      </c>
      <c r="T8" s="5">
        <f>club_summary_data_22_23[[#This Row],[GBR]]+club_summary_data_22_23[[#This Row],[Export Earned (AUD)]]</f>
        <v>62103.967399999994</v>
      </c>
    </row>
    <row r="9" spans="1:20" x14ac:dyDescent="0.3">
      <c r="A9" s="3" t="s">
        <v>127</v>
      </c>
      <c r="B9" s="3" t="s">
        <v>97</v>
      </c>
      <c r="C9" s="26">
        <f>COUNTIF('Raceday Breakdown'!C:C,club_summary_data_22_23[[#This Row],[Club Name]])</f>
        <v>3</v>
      </c>
      <c r="D9" s="3">
        <f>SUMIF('Raceday Breakdown'!C:C,club_summary_data_22_23[[#This Row],[Club Name]],'Raceday Breakdown'!E:E)</f>
        <v>32</v>
      </c>
      <c r="E9" s="3">
        <f>SUMIF('Raceday Breakdown'!C:C,club_summary_data_22_23[[#This Row],[Club Name]],'Raceday Breakdown'!F:F)</f>
        <v>289</v>
      </c>
      <c r="F9" s="28">
        <f>club_summary_data_22_23[[#This Row],[Starters]]/club_summary_data_22_23[[#This Row],[Races]]</f>
        <v>9.03125</v>
      </c>
      <c r="G9" s="4">
        <f>SUMIF('Raceday Breakdown'!C:C,club_summary_data_22_23[[#This Row],[Club Name]],'Raceday Breakdown'!AE:AE)/club_summary_data_22_23[[#This Row],[Races]]</f>
        <v>0.375</v>
      </c>
      <c r="H9" s="5">
        <f>SUMIF('Raceday Breakdown'!C:C,club_summary_data_22_23[[#This Row],[Club Name]],'Raceday Breakdown'!I:I)</f>
        <v>470597</v>
      </c>
      <c r="I9" s="5">
        <f>club_summary_data_22_23[[#This Row],[HRNZ Funded Stakes]]/club_summary_data_22_23[[#This Row],[Races]]</f>
        <v>14706.15625</v>
      </c>
      <c r="J9" s="4">
        <f>club_summary_data_22_23[[#This Row],[GBR]]/club_summary_data_22_23[[#This Row],[HRNZ Funded Stakes]]</f>
        <v>0.72173117911928819</v>
      </c>
      <c r="K9" s="5">
        <f>SUMIF('Raceday Breakdown'!C:C,club_summary_data_22_23[[#This Row],[Club Name]],'Raceday Breakdown'!AB:AB)</f>
        <v>1976376.4361999969</v>
      </c>
      <c r="L9" s="5">
        <f>SUMIF('Raceday Breakdown'!C:C,club_summary_data_22_23[[#This Row],[Club Name]],'Raceday Breakdown'!AC:AC)</f>
        <v>339644.52769999969</v>
      </c>
      <c r="M9" s="5">
        <f>SUMIF('Raceday Breakdown'!C:C,club_summary_data_22_23[[#This Row],[Club Name]],'Raceday Breakdown'!O:O)</f>
        <v>510576.22</v>
      </c>
      <c r="N9" s="5">
        <f>SUMIF('Raceday Breakdown'!C:C,club_summary_data_22_23[[#This Row],[Club Name]],'Raceday Breakdown'!P:P)</f>
        <v>837379.51</v>
      </c>
      <c r="O9" s="4">
        <f>club_summary_data_22_23[[#This Row],[GBR]]/club_summary_data_22_23[[#This Row],[Turnover]]</f>
        <v>0.1718521438927082</v>
      </c>
      <c r="P9" s="4">
        <f>club_summary_data_22_23[[#This Row],[GBR]]/club_summary_data_22_23[[#This Row],[Funding]]</f>
        <v>0.66521807008559797</v>
      </c>
      <c r="Q9" s="11">
        <f>club_summary_data_22_23[[#This Row],[Turnover]]/club_summary_data_22_23[[#This Row],[Funding]]</f>
        <v>3.8708744332041101</v>
      </c>
      <c r="R9" s="20">
        <f>club_summary_data_22_23[[#This Row],[Turnover]]/club_summary_data_22_23[[#This Row],[Races]]</f>
        <v>61761.763631249902</v>
      </c>
      <c r="S9" s="9">
        <f>0.03*club_summary_data_22_23[[#This Row],[Export TO (AUD)]]</f>
        <v>25121.385299999998</v>
      </c>
      <c r="T9" s="5">
        <f>club_summary_data_22_23[[#This Row],[GBR]]+club_summary_data_22_23[[#This Row],[Export Earned (AUD)]]</f>
        <v>364765.91299999971</v>
      </c>
    </row>
    <row r="10" spans="1:20" x14ac:dyDescent="0.3">
      <c r="A10" s="3" t="s">
        <v>127</v>
      </c>
      <c r="B10" s="3" t="s">
        <v>75</v>
      </c>
      <c r="C10" s="26">
        <f>COUNTIF('Raceday Breakdown'!C:C,club_summary_data_22_23[[#This Row],[Club Name]])</f>
        <v>11</v>
      </c>
      <c r="D10" s="3">
        <f>SUMIF('Raceday Breakdown'!C:C,club_summary_data_22_23[[#This Row],[Club Name]],'Raceday Breakdown'!E:E)</f>
        <v>101</v>
      </c>
      <c r="E10" s="3">
        <f>SUMIF('Raceday Breakdown'!C:C,club_summary_data_22_23[[#This Row],[Club Name]],'Raceday Breakdown'!F:F)</f>
        <v>947</v>
      </c>
      <c r="F10" s="28">
        <f>club_summary_data_22_23[[#This Row],[Starters]]/club_summary_data_22_23[[#This Row],[Races]]</f>
        <v>9.3762376237623766</v>
      </c>
      <c r="G10" s="4">
        <f>SUMIF('Raceday Breakdown'!C:C,club_summary_data_22_23[[#This Row],[Club Name]],'Raceday Breakdown'!AE:AE)/club_summary_data_22_23[[#This Row],[Races]]</f>
        <v>0.33663366336633666</v>
      </c>
      <c r="H10" s="5">
        <f>SUMIF('Raceday Breakdown'!C:C,club_summary_data_22_23[[#This Row],[Club Name]],'Raceday Breakdown'!I:I)</f>
        <v>1311389</v>
      </c>
      <c r="I10" s="5">
        <f>club_summary_data_22_23[[#This Row],[HRNZ Funded Stakes]]/club_summary_data_22_23[[#This Row],[Races]]</f>
        <v>12984.049504950495</v>
      </c>
      <c r="J10" s="4">
        <f>club_summary_data_22_23[[#This Row],[GBR]]/club_summary_data_22_23[[#This Row],[HRNZ Funded Stakes]]</f>
        <v>0.98265571241637639</v>
      </c>
      <c r="K10" s="5">
        <f>SUMIF('Raceday Breakdown'!C:C,club_summary_data_22_23[[#This Row],[Club Name]],'Raceday Breakdown'!AB:AB)</f>
        <v>5948151.0046999948</v>
      </c>
      <c r="L10" s="5">
        <f>SUMIF('Raceday Breakdown'!C:C,club_summary_data_22_23[[#This Row],[Club Name]],'Raceday Breakdown'!AC:AC)</f>
        <v>1288643.8920499994</v>
      </c>
      <c r="M10" s="5">
        <f>SUMIF('Raceday Breakdown'!C:C,club_summary_data_22_23[[#This Row],[Club Name]],'Raceday Breakdown'!O:O)</f>
        <v>1417458.4</v>
      </c>
      <c r="N10" s="5">
        <f>SUMIF('Raceday Breakdown'!C:C,club_summary_data_22_23[[#This Row],[Club Name]],'Raceday Breakdown'!P:P)</f>
        <v>2742588.94</v>
      </c>
      <c r="O10" s="4">
        <f>club_summary_data_22_23[[#This Row],[GBR]]/club_summary_data_22_23[[#This Row],[Turnover]]</f>
        <v>0.21664612936553959</v>
      </c>
      <c r="P10" s="4">
        <f>club_summary_data_22_23[[#This Row],[GBR]]/club_summary_data_22_23[[#This Row],[Funding]]</f>
        <v>0.90912290057330747</v>
      </c>
      <c r="Q10" s="11">
        <f>club_summary_data_22_23[[#This Row],[Turnover]]/club_summary_data_22_23[[#This Row],[Funding]]</f>
        <v>4.1963496104718105</v>
      </c>
      <c r="R10" s="20">
        <f>club_summary_data_22_23[[#This Row],[Turnover]]/club_summary_data_22_23[[#This Row],[Races]]</f>
        <v>58892.584204950443</v>
      </c>
      <c r="S10" s="9">
        <f>0.03*club_summary_data_22_23[[#This Row],[Export TO (AUD)]]</f>
        <v>82277.6682</v>
      </c>
      <c r="T10" s="5">
        <f>club_summary_data_22_23[[#This Row],[GBR]]+club_summary_data_22_23[[#This Row],[Export Earned (AUD)]]</f>
        <v>1370921.5602499994</v>
      </c>
    </row>
    <row r="11" spans="1:20" x14ac:dyDescent="0.3">
      <c r="A11" s="3" t="s">
        <v>127</v>
      </c>
      <c r="B11" s="3" t="s">
        <v>85</v>
      </c>
      <c r="C11" s="26">
        <f>COUNTIF('Raceday Breakdown'!C:C,club_summary_data_22_23[[#This Row],[Club Name]])</f>
        <v>13</v>
      </c>
      <c r="D11" s="3">
        <f>SUMIF('Raceday Breakdown'!C:C,club_summary_data_22_23[[#This Row],[Club Name]],'Raceday Breakdown'!E:E)</f>
        <v>116</v>
      </c>
      <c r="E11" s="3">
        <f>SUMIF('Raceday Breakdown'!C:C,club_summary_data_22_23[[#This Row],[Club Name]],'Raceday Breakdown'!F:F)</f>
        <v>1091</v>
      </c>
      <c r="F11" s="28">
        <f>club_summary_data_22_23[[#This Row],[Starters]]/club_summary_data_22_23[[#This Row],[Races]]</f>
        <v>9.4051724137931032</v>
      </c>
      <c r="G11" s="4">
        <f>SUMIF('Raceday Breakdown'!C:C,club_summary_data_22_23[[#This Row],[Club Name]],'Raceday Breakdown'!AE:AE)/club_summary_data_22_23[[#This Row],[Races]]</f>
        <v>0.43965517241379309</v>
      </c>
      <c r="H11" s="5">
        <f>SUMIF('Raceday Breakdown'!C:C,club_summary_data_22_23[[#This Row],[Club Name]],'Raceday Breakdown'!I:I)</f>
        <v>1839071</v>
      </c>
      <c r="I11" s="5">
        <f>club_summary_data_22_23[[#This Row],[HRNZ Funded Stakes]]/club_summary_data_22_23[[#This Row],[Races]]</f>
        <v>15854.060344827587</v>
      </c>
      <c r="J11" s="4">
        <f>club_summary_data_22_23[[#This Row],[GBR]]/club_summary_data_22_23[[#This Row],[HRNZ Funded Stakes]]</f>
        <v>0.73445537978142139</v>
      </c>
      <c r="K11" s="5">
        <f>SUMIF('Raceday Breakdown'!C:C,club_summary_data_22_23[[#This Row],[Club Name]],'Raceday Breakdown'!AB:AB)</f>
        <v>8019421.7950999932</v>
      </c>
      <c r="L11" s="5">
        <f>SUMIF('Raceday Breakdown'!C:C,club_summary_data_22_23[[#This Row],[Club Name]],'Raceday Breakdown'!AC:AC)</f>
        <v>1350715.5897499984</v>
      </c>
      <c r="M11" s="5">
        <f>SUMIF('Raceday Breakdown'!C:C,club_summary_data_22_23[[#This Row],[Club Name]],'Raceday Breakdown'!O:O)</f>
        <v>2017660.3200000005</v>
      </c>
      <c r="N11" s="5">
        <f>SUMIF('Raceday Breakdown'!C:C,club_summary_data_22_23[[#This Row],[Club Name]],'Raceday Breakdown'!P:P)</f>
        <v>2683142.67</v>
      </c>
      <c r="O11" s="4">
        <f>club_summary_data_22_23[[#This Row],[GBR]]/club_summary_data_22_23[[#This Row],[Turnover]]</f>
        <v>0.16843054577517164</v>
      </c>
      <c r="P11" s="4">
        <f>club_summary_data_22_23[[#This Row],[GBR]]/club_summary_data_22_23[[#This Row],[Funding]]</f>
        <v>0.6694464753859054</v>
      </c>
      <c r="Q11" s="11">
        <f>club_summary_data_22_23[[#This Row],[Turnover]]/club_summary_data_22_23[[#This Row],[Funding]]</f>
        <v>3.9746144163156218</v>
      </c>
      <c r="R11" s="20">
        <f>club_summary_data_22_23[[#This Row],[Turnover]]/club_summary_data_22_23[[#This Row],[Races]]</f>
        <v>69132.946509482703</v>
      </c>
      <c r="S11" s="9">
        <f>0.03*club_summary_data_22_23[[#This Row],[Export TO (AUD)]]</f>
        <v>80494.280099999989</v>
      </c>
      <c r="T11" s="5">
        <f>club_summary_data_22_23[[#This Row],[GBR]]+club_summary_data_22_23[[#This Row],[Export Earned (AUD)]]</f>
        <v>1431209.8698499985</v>
      </c>
    </row>
    <row r="12" spans="1:20" x14ac:dyDescent="0.3">
      <c r="A12" s="3" t="s">
        <v>127</v>
      </c>
      <c r="B12" s="3" t="s">
        <v>87</v>
      </c>
      <c r="C12" s="26">
        <f>COUNTIF('Raceday Breakdown'!C:C,club_summary_data_22_23[[#This Row],[Club Name]])</f>
        <v>1</v>
      </c>
      <c r="D12" s="3">
        <f>SUMIF('Raceday Breakdown'!C:C,club_summary_data_22_23[[#This Row],[Club Name]],'Raceday Breakdown'!E:E)</f>
        <v>10</v>
      </c>
      <c r="E12" s="3">
        <f>SUMIF('Raceday Breakdown'!C:C,club_summary_data_22_23[[#This Row],[Club Name]],'Raceday Breakdown'!F:F)</f>
        <v>92</v>
      </c>
      <c r="F12" s="28">
        <f>club_summary_data_22_23[[#This Row],[Starters]]/club_summary_data_22_23[[#This Row],[Races]]</f>
        <v>9.1999999999999993</v>
      </c>
      <c r="G12" s="4">
        <f>SUMIF('Raceday Breakdown'!C:C,club_summary_data_22_23[[#This Row],[Club Name]],'Raceday Breakdown'!AE:AE)/club_summary_data_22_23[[#This Row],[Races]]</f>
        <v>0.3</v>
      </c>
      <c r="H12" s="5">
        <f>SUMIF('Raceday Breakdown'!C:C,club_summary_data_22_23[[#This Row],[Club Name]],'Raceday Breakdown'!I:I)</f>
        <v>124905</v>
      </c>
      <c r="I12" s="5">
        <f>club_summary_data_22_23[[#This Row],[HRNZ Funded Stakes]]/club_summary_data_22_23[[#This Row],[Races]]</f>
        <v>12490.5</v>
      </c>
      <c r="J12" s="4">
        <f>club_summary_data_22_23[[#This Row],[GBR]]/club_summary_data_22_23[[#This Row],[HRNZ Funded Stakes]]</f>
        <v>1.39168587046155</v>
      </c>
      <c r="K12" s="5">
        <f>SUMIF('Raceday Breakdown'!C:C,club_summary_data_22_23[[#This Row],[Club Name]],'Raceday Breakdown'!AB:AB)</f>
        <v>794239.15369999898</v>
      </c>
      <c r="L12" s="5">
        <f>SUMIF('Raceday Breakdown'!C:C,club_summary_data_22_23[[#This Row],[Club Name]],'Raceday Breakdown'!AC:AC)</f>
        <v>173828.5236499999</v>
      </c>
      <c r="M12" s="5">
        <f>SUMIF('Raceday Breakdown'!C:C,club_summary_data_22_23[[#This Row],[Club Name]],'Raceday Breakdown'!O:O)</f>
        <v>142126.24</v>
      </c>
      <c r="N12" s="5">
        <f>SUMIF('Raceday Breakdown'!C:C,club_summary_data_22_23[[#This Row],[Club Name]],'Raceday Breakdown'!P:P)</f>
        <v>176347</v>
      </c>
      <c r="O12" s="4">
        <f>club_summary_data_22_23[[#This Row],[GBR]]/club_summary_data_22_23[[#This Row],[Turnover]]</f>
        <v>0.21886169026068769</v>
      </c>
      <c r="P12" s="4">
        <f>club_summary_data_22_23[[#This Row],[GBR]]/club_summary_data_22_23[[#This Row],[Funding]]</f>
        <v>1.2230572176538259</v>
      </c>
      <c r="Q12" s="11">
        <f>club_summary_data_22_23[[#This Row],[Turnover]]/club_summary_data_22_23[[#This Row],[Funding]]</f>
        <v>5.5882654300852472</v>
      </c>
      <c r="R12" s="20">
        <f>club_summary_data_22_23[[#This Row],[Turnover]]/club_summary_data_22_23[[#This Row],[Races]]</f>
        <v>79423.915369999901</v>
      </c>
      <c r="S12" s="9">
        <f>0.03*club_summary_data_22_23[[#This Row],[Export TO (AUD)]]</f>
        <v>5290.41</v>
      </c>
      <c r="T12" s="5">
        <f>club_summary_data_22_23[[#This Row],[GBR]]+club_summary_data_22_23[[#This Row],[Export Earned (AUD)]]</f>
        <v>179118.9336499999</v>
      </c>
    </row>
    <row r="13" spans="1:20" x14ac:dyDescent="0.3">
      <c r="A13" s="3" t="s">
        <v>127</v>
      </c>
      <c r="B13" s="3" t="s">
        <v>90</v>
      </c>
      <c r="C13" s="26">
        <f>COUNTIF('Raceday Breakdown'!C:C,club_summary_data_22_23[[#This Row],[Club Name]])</f>
        <v>8</v>
      </c>
      <c r="D13" s="3">
        <f>SUMIF('Raceday Breakdown'!C:C,club_summary_data_22_23[[#This Row],[Club Name]],'Raceday Breakdown'!E:E)</f>
        <v>78</v>
      </c>
      <c r="E13" s="3">
        <f>SUMIF('Raceday Breakdown'!C:C,club_summary_data_22_23[[#This Row],[Club Name]],'Raceday Breakdown'!F:F)</f>
        <v>764</v>
      </c>
      <c r="F13" s="28">
        <f>club_summary_data_22_23[[#This Row],[Starters]]/club_summary_data_22_23[[#This Row],[Races]]</f>
        <v>9.7948717948717956</v>
      </c>
      <c r="G13" s="4">
        <f>SUMIF('Raceday Breakdown'!C:C,club_summary_data_22_23[[#This Row],[Club Name]],'Raceday Breakdown'!AE:AE)/club_summary_data_22_23[[#This Row],[Races]]</f>
        <v>0.33333333333333331</v>
      </c>
      <c r="H13" s="5">
        <f>SUMIF('Raceday Breakdown'!C:C,club_summary_data_22_23[[#This Row],[Club Name]],'Raceday Breakdown'!I:I)</f>
        <v>1035131</v>
      </c>
      <c r="I13" s="5">
        <f>club_summary_data_22_23[[#This Row],[HRNZ Funded Stakes]]/club_summary_data_22_23[[#This Row],[Races]]</f>
        <v>13270.910256410256</v>
      </c>
      <c r="J13" s="4">
        <f>club_summary_data_22_23[[#This Row],[GBR]]/club_summary_data_22_23[[#This Row],[HRNZ Funded Stakes]]</f>
        <v>1.0507057648258999</v>
      </c>
      <c r="K13" s="5">
        <f>SUMIF('Raceday Breakdown'!C:C,club_summary_data_22_23[[#This Row],[Club Name]],'Raceday Breakdown'!AB:AB)</f>
        <v>5928926.9404999949</v>
      </c>
      <c r="L13" s="5">
        <f>SUMIF('Raceday Breakdown'!C:C,club_summary_data_22_23[[#This Row],[Club Name]],'Raceday Breakdown'!AC:AC)</f>
        <v>1087618.1090499987</v>
      </c>
      <c r="M13" s="5">
        <f>SUMIF('Raceday Breakdown'!C:C,club_summary_data_22_23[[#This Row],[Club Name]],'Raceday Breakdown'!O:O)</f>
        <v>1316001.0999999999</v>
      </c>
      <c r="N13" s="5">
        <f>SUMIF('Raceday Breakdown'!C:C,club_summary_data_22_23[[#This Row],[Club Name]],'Raceday Breakdown'!P:P)</f>
        <v>1762427.88</v>
      </c>
      <c r="O13" s="4">
        <f>club_summary_data_22_23[[#This Row],[GBR]]/club_summary_data_22_23[[#This Row],[Turnover]]</f>
        <v>0.18344265665015569</v>
      </c>
      <c r="P13" s="4">
        <f>club_summary_data_22_23[[#This Row],[GBR]]/club_summary_data_22_23[[#This Row],[Funding]]</f>
        <v>0.8264568388658633</v>
      </c>
      <c r="Q13" s="11">
        <f>club_summary_data_22_23[[#This Row],[Turnover]]/club_summary_data_22_23[[#This Row],[Funding]]</f>
        <v>4.5052598668040593</v>
      </c>
      <c r="R13" s="20">
        <f>club_summary_data_22_23[[#This Row],[Turnover]]/club_summary_data_22_23[[#This Row],[Races]]</f>
        <v>76011.883852564031</v>
      </c>
      <c r="S13" s="9">
        <f>0.03*club_summary_data_22_23[[#This Row],[Export TO (AUD)]]</f>
        <v>52872.836399999993</v>
      </c>
      <c r="T13" s="5">
        <f>club_summary_data_22_23[[#This Row],[GBR]]+club_summary_data_22_23[[#This Row],[Export Earned (AUD)]]</f>
        <v>1140490.9454499986</v>
      </c>
    </row>
    <row r="14" spans="1:20" x14ac:dyDescent="0.3">
      <c r="A14" s="3" t="s">
        <v>127</v>
      </c>
      <c r="B14" s="3" t="s">
        <v>109</v>
      </c>
      <c r="C14" s="26">
        <f>COUNTIF('Raceday Breakdown'!C:C,club_summary_data_22_23[[#This Row],[Club Name]])</f>
        <v>1</v>
      </c>
      <c r="D14" s="3">
        <f>SUMIF('Raceday Breakdown'!C:C,club_summary_data_22_23[[#This Row],[Club Name]],'Raceday Breakdown'!E:E)</f>
        <v>11</v>
      </c>
      <c r="E14" s="3">
        <f>SUMIF('Raceday Breakdown'!C:C,club_summary_data_22_23[[#This Row],[Club Name]],'Raceday Breakdown'!F:F)</f>
        <v>107</v>
      </c>
      <c r="F14" s="28">
        <f>club_summary_data_22_23[[#This Row],[Starters]]/club_summary_data_22_23[[#This Row],[Races]]</f>
        <v>9.7272727272727266</v>
      </c>
      <c r="G14" s="4">
        <f>SUMIF('Raceday Breakdown'!C:C,club_summary_data_22_23[[#This Row],[Club Name]],'Raceday Breakdown'!AE:AE)/club_summary_data_22_23[[#This Row],[Races]]</f>
        <v>0.27272727272727271</v>
      </c>
      <c r="H14" s="5">
        <f>SUMIF('Raceday Breakdown'!C:C,club_summary_data_22_23[[#This Row],[Club Name]],'Raceday Breakdown'!I:I)</f>
        <v>146806</v>
      </c>
      <c r="I14" s="5">
        <f>club_summary_data_22_23[[#This Row],[HRNZ Funded Stakes]]/club_summary_data_22_23[[#This Row],[Races]]</f>
        <v>13346</v>
      </c>
      <c r="J14" s="4">
        <f>club_summary_data_22_23[[#This Row],[GBR]]/club_summary_data_22_23[[#This Row],[HRNZ Funded Stakes]]</f>
        <v>1.2418003303679679</v>
      </c>
      <c r="K14" s="5">
        <f>SUMIF('Raceday Breakdown'!C:C,club_summary_data_22_23[[#This Row],[Club Name]],'Raceday Breakdown'!AB:AB)</f>
        <v>1014645.7214999989</v>
      </c>
      <c r="L14" s="5">
        <f>SUMIF('Raceday Breakdown'!C:C,club_summary_data_22_23[[#This Row],[Club Name]],'Raceday Breakdown'!AC:AC)</f>
        <v>182303.7392999999</v>
      </c>
      <c r="M14" s="5">
        <f>SUMIF('Raceday Breakdown'!C:C,club_summary_data_22_23[[#This Row],[Club Name]],'Raceday Breakdown'!O:O)</f>
        <v>171689.92</v>
      </c>
      <c r="N14" s="5">
        <f>SUMIF('Raceday Breakdown'!C:C,club_summary_data_22_23[[#This Row],[Club Name]],'Raceday Breakdown'!P:P)</f>
        <v>210194</v>
      </c>
      <c r="O14" s="4">
        <f>club_summary_data_22_23[[#This Row],[GBR]]/club_summary_data_22_23[[#This Row],[Turnover]]</f>
        <v>0.17967230870543821</v>
      </c>
      <c r="P14" s="4">
        <f>club_summary_data_22_23[[#This Row],[GBR]]/club_summary_data_22_23[[#This Row],[Funding]]</f>
        <v>1.0618196997237805</v>
      </c>
      <c r="Q14" s="11">
        <f>club_summary_data_22_23[[#This Row],[Turnover]]/club_summary_data_22_23[[#This Row],[Funding]]</f>
        <v>5.9097570870788392</v>
      </c>
      <c r="R14" s="20">
        <f>club_summary_data_22_23[[#This Row],[Turnover]]/club_summary_data_22_23[[#This Row],[Races]]</f>
        <v>92240.520136363542</v>
      </c>
      <c r="S14" s="9">
        <f>0.03*club_summary_data_22_23[[#This Row],[Export TO (AUD)]]</f>
        <v>6305.82</v>
      </c>
      <c r="T14" s="5">
        <f>club_summary_data_22_23[[#This Row],[GBR]]+club_summary_data_22_23[[#This Row],[Export Earned (AUD)]]</f>
        <v>188609.55929999991</v>
      </c>
    </row>
    <row r="15" spans="1:20" x14ac:dyDescent="0.3">
      <c r="A15" s="3" t="s">
        <v>127</v>
      </c>
      <c r="B15" s="3" t="s">
        <v>98</v>
      </c>
      <c r="C15" s="26">
        <f>COUNTIF('Raceday Breakdown'!C:C,club_summary_data_22_23[[#This Row],[Club Name]])</f>
        <v>1</v>
      </c>
      <c r="D15" s="3">
        <f>SUMIF('Raceday Breakdown'!C:C,club_summary_data_22_23[[#This Row],[Club Name]],'Raceday Breakdown'!E:E)</f>
        <v>10</v>
      </c>
      <c r="E15" s="3">
        <f>SUMIF('Raceday Breakdown'!C:C,club_summary_data_22_23[[#This Row],[Club Name]],'Raceday Breakdown'!F:F)</f>
        <v>97</v>
      </c>
      <c r="F15" s="28">
        <f>club_summary_data_22_23[[#This Row],[Starters]]/club_summary_data_22_23[[#This Row],[Races]]</f>
        <v>9.6999999999999993</v>
      </c>
      <c r="G15" s="4">
        <f>SUMIF('Raceday Breakdown'!C:C,club_summary_data_22_23[[#This Row],[Club Name]],'Raceday Breakdown'!AE:AE)/club_summary_data_22_23[[#This Row],[Races]]</f>
        <v>0.2</v>
      </c>
      <c r="H15" s="5">
        <f>SUMIF('Raceday Breakdown'!C:C,club_summary_data_22_23[[#This Row],[Club Name]],'Raceday Breakdown'!I:I)</f>
        <v>118266</v>
      </c>
      <c r="I15" s="5">
        <f>club_summary_data_22_23[[#This Row],[HRNZ Funded Stakes]]/club_summary_data_22_23[[#This Row],[Races]]</f>
        <v>11826.6</v>
      </c>
      <c r="J15" s="4">
        <f>club_summary_data_22_23[[#This Row],[GBR]]/club_summary_data_22_23[[#This Row],[HRNZ Funded Stakes]]</f>
        <v>1.6672929806537795</v>
      </c>
      <c r="K15" s="5">
        <f>SUMIF('Raceday Breakdown'!C:C,club_summary_data_22_23[[#This Row],[Club Name]],'Raceday Breakdown'!AB:AB)</f>
        <v>789759.60539999895</v>
      </c>
      <c r="L15" s="5">
        <f>SUMIF('Raceday Breakdown'!C:C,club_summary_data_22_23[[#This Row],[Club Name]],'Raceday Breakdown'!AC:AC)</f>
        <v>197184.07164999988</v>
      </c>
      <c r="M15" s="5">
        <f>SUMIF('Raceday Breakdown'!C:C,club_summary_data_22_23[[#This Row],[Club Name]],'Raceday Breakdown'!O:O)</f>
        <v>135488.74</v>
      </c>
      <c r="N15" s="5">
        <f>SUMIF('Raceday Breakdown'!C:C,club_summary_data_22_23[[#This Row],[Club Name]],'Raceday Breakdown'!P:P)</f>
        <v>232241</v>
      </c>
      <c r="O15" s="4">
        <f>club_summary_data_22_23[[#This Row],[GBR]]/club_summary_data_22_23[[#This Row],[Turnover]]</f>
        <v>0.24967606636468792</v>
      </c>
      <c r="P15" s="4">
        <f>club_summary_data_22_23[[#This Row],[GBR]]/club_summary_data_22_23[[#This Row],[Funding]]</f>
        <v>1.4553539404824334</v>
      </c>
      <c r="Q15" s="11">
        <f>club_summary_data_22_23[[#This Row],[Turnover]]/club_summary_data_22_23[[#This Row],[Funding]]</f>
        <v>5.8289685578299641</v>
      </c>
      <c r="R15" s="20">
        <f>club_summary_data_22_23[[#This Row],[Turnover]]/club_summary_data_22_23[[#This Row],[Races]]</f>
        <v>78975.960539999898</v>
      </c>
      <c r="S15" s="9">
        <f>0.03*club_summary_data_22_23[[#This Row],[Export TO (AUD)]]</f>
        <v>6967.23</v>
      </c>
      <c r="T15" s="5">
        <f>club_summary_data_22_23[[#This Row],[GBR]]+club_summary_data_22_23[[#This Row],[Export Earned (AUD)]]</f>
        <v>204151.30164999989</v>
      </c>
    </row>
    <row r="16" spans="1:20" x14ac:dyDescent="0.3">
      <c r="A16" s="3" t="s">
        <v>127</v>
      </c>
      <c r="B16" s="3" t="s">
        <v>92</v>
      </c>
      <c r="C16" s="26">
        <f>COUNTIF('Raceday Breakdown'!C:C,club_summary_data_22_23[[#This Row],[Club Name]])</f>
        <v>5</v>
      </c>
      <c r="D16" s="3">
        <f>SUMIF('Raceday Breakdown'!C:C,club_summary_data_22_23[[#This Row],[Club Name]],'Raceday Breakdown'!E:E)</f>
        <v>49</v>
      </c>
      <c r="E16" s="3">
        <f>SUMIF('Raceday Breakdown'!C:C,club_summary_data_22_23[[#This Row],[Club Name]],'Raceday Breakdown'!F:F)</f>
        <v>478</v>
      </c>
      <c r="F16" s="28">
        <f>club_summary_data_22_23[[#This Row],[Starters]]/club_summary_data_22_23[[#This Row],[Races]]</f>
        <v>9.7551020408163271</v>
      </c>
      <c r="G16" s="4">
        <f>SUMIF('Raceday Breakdown'!C:C,club_summary_data_22_23[[#This Row],[Club Name]],'Raceday Breakdown'!AE:AE)/club_summary_data_22_23[[#This Row],[Races]]</f>
        <v>0.32653061224489793</v>
      </c>
      <c r="H16" s="5">
        <f>SUMIF('Raceday Breakdown'!C:C,club_summary_data_22_23[[#This Row],[Club Name]],'Raceday Breakdown'!I:I)</f>
        <v>621239</v>
      </c>
      <c r="I16" s="5">
        <f>club_summary_data_22_23[[#This Row],[HRNZ Funded Stakes]]/club_summary_data_22_23[[#This Row],[Races]]</f>
        <v>12678.34693877551</v>
      </c>
      <c r="J16" s="4">
        <f>club_summary_data_22_23[[#This Row],[GBR]]/club_summary_data_22_23[[#This Row],[HRNZ Funded Stakes]]</f>
        <v>1.1232759198955629</v>
      </c>
      <c r="K16" s="5">
        <f>SUMIF('Raceday Breakdown'!C:C,club_summary_data_22_23[[#This Row],[Club Name]],'Raceday Breakdown'!AB:AB)</f>
        <v>3766234.2530999957</v>
      </c>
      <c r="L16" s="5">
        <f>SUMIF('Raceday Breakdown'!C:C,club_summary_data_22_23[[#This Row],[Club Name]],'Raceday Breakdown'!AC:AC)</f>
        <v>697822.80919999955</v>
      </c>
      <c r="M16" s="5">
        <f>SUMIF('Raceday Breakdown'!C:C,club_summary_data_22_23[[#This Row],[Club Name]],'Raceday Breakdown'!O:O)</f>
        <v>734361</v>
      </c>
      <c r="N16" s="5">
        <f>SUMIF('Raceday Breakdown'!C:C,club_summary_data_22_23[[#This Row],[Club Name]],'Raceday Breakdown'!P:P)</f>
        <v>1423344.77</v>
      </c>
      <c r="O16" s="4">
        <f>club_summary_data_22_23[[#This Row],[GBR]]/club_summary_data_22_23[[#This Row],[Turnover]]</f>
        <v>0.18528396331843142</v>
      </c>
      <c r="P16" s="4">
        <f>club_summary_data_22_23[[#This Row],[GBR]]/club_summary_data_22_23[[#This Row],[Funding]]</f>
        <v>0.9502449193244189</v>
      </c>
      <c r="Q16" s="11">
        <f>club_summary_data_22_23[[#This Row],[Turnover]]/club_summary_data_22_23[[#This Row],[Funding]]</f>
        <v>5.1285869662196051</v>
      </c>
      <c r="R16" s="20">
        <f>club_summary_data_22_23[[#This Row],[Turnover]]/club_summary_data_22_23[[#This Row],[Races]]</f>
        <v>76861.923532652974</v>
      </c>
      <c r="S16" s="9">
        <f>0.03*club_summary_data_22_23[[#This Row],[Export TO (AUD)]]</f>
        <v>42700.343099999998</v>
      </c>
      <c r="T16" s="5">
        <f>club_summary_data_22_23[[#This Row],[GBR]]+club_summary_data_22_23[[#This Row],[Export Earned (AUD)]]</f>
        <v>740523.15229999949</v>
      </c>
    </row>
    <row r="17" spans="1:20" x14ac:dyDescent="0.3">
      <c r="A17" s="3" t="s">
        <v>127</v>
      </c>
      <c r="B17" s="3" t="s">
        <v>107</v>
      </c>
      <c r="C17" s="26">
        <f>COUNTIF('Raceday Breakdown'!C:C,club_summary_data_22_23[[#This Row],[Club Name]])</f>
        <v>1</v>
      </c>
      <c r="D17" s="3">
        <f>SUMIF('Raceday Breakdown'!C:C,club_summary_data_22_23[[#This Row],[Club Name]],'Raceday Breakdown'!E:E)</f>
        <v>11</v>
      </c>
      <c r="E17" s="3">
        <f>SUMIF('Raceday Breakdown'!C:C,club_summary_data_22_23[[#This Row],[Club Name]],'Raceday Breakdown'!F:F)</f>
        <v>109</v>
      </c>
      <c r="F17" s="28">
        <f>club_summary_data_22_23[[#This Row],[Starters]]/club_summary_data_22_23[[#This Row],[Races]]</f>
        <v>9.9090909090909083</v>
      </c>
      <c r="G17" s="4">
        <f>SUMIF('Raceday Breakdown'!C:C,club_summary_data_22_23[[#This Row],[Club Name]],'Raceday Breakdown'!AE:AE)/club_summary_data_22_23[[#This Row],[Races]]</f>
        <v>0.36363636363636365</v>
      </c>
      <c r="H17" s="5">
        <f>SUMIF('Raceday Breakdown'!C:C,club_summary_data_22_23[[#This Row],[Club Name]],'Raceday Breakdown'!I:I)</f>
        <v>182254</v>
      </c>
      <c r="I17" s="5">
        <f>club_summary_data_22_23[[#This Row],[HRNZ Funded Stakes]]/club_summary_data_22_23[[#This Row],[Races]]</f>
        <v>16568.545454545456</v>
      </c>
      <c r="J17" s="4">
        <f>club_summary_data_22_23[[#This Row],[GBR]]/club_summary_data_22_23[[#This Row],[HRNZ Funded Stakes]]</f>
        <v>1.4285240905549397</v>
      </c>
      <c r="K17" s="5">
        <f>SUMIF('Raceday Breakdown'!C:C,club_summary_data_22_23[[#This Row],[Club Name]],'Raceday Breakdown'!AB:AB)</f>
        <v>1434915.6205000002</v>
      </c>
      <c r="L17" s="5">
        <f>SUMIF('Raceday Breakdown'!C:C,club_summary_data_22_23[[#This Row],[Club Name]],'Raceday Breakdown'!AC:AC)</f>
        <v>260354.22959999999</v>
      </c>
      <c r="M17" s="5">
        <f>SUMIF('Raceday Breakdown'!C:C,club_summary_data_22_23[[#This Row],[Club Name]],'Raceday Breakdown'!O:O)</f>
        <v>242872.75</v>
      </c>
      <c r="N17" s="5">
        <f>SUMIF('Raceday Breakdown'!C:C,club_summary_data_22_23[[#This Row],[Club Name]],'Raceday Breakdown'!P:P)</f>
        <v>289931</v>
      </c>
      <c r="O17" s="4">
        <f>club_summary_data_22_23[[#This Row],[GBR]]/club_summary_data_22_23[[#This Row],[Turnover]]</f>
        <v>0.18144218787532529</v>
      </c>
      <c r="P17" s="4">
        <f>club_summary_data_22_23[[#This Row],[GBR]]/club_summary_data_22_23[[#This Row],[Funding]]</f>
        <v>1.0719779374178453</v>
      </c>
      <c r="Q17" s="11">
        <f>club_summary_data_22_23[[#This Row],[Turnover]]/club_summary_data_22_23[[#This Row],[Funding]]</f>
        <v>5.9080964023341451</v>
      </c>
      <c r="R17" s="20">
        <f>club_summary_data_22_23[[#This Row],[Turnover]]/club_summary_data_22_23[[#This Row],[Races]]</f>
        <v>130446.87459090911</v>
      </c>
      <c r="S17" s="9">
        <f>0.03*club_summary_data_22_23[[#This Row],[Export TO (AUD)]]</f>
        <v>8697.93</v>
      </c>
      <c r="T17" s="5">
        <f>club_summary_data_22_23[[#This Row],[GBR]]+club_summary_data_22_23[[#This Row],[Export Earned (AUD)]]</f>
        <v>269052.15960000001</v>
      </c>
    </row>
    <row r="18" spans="1:20" x14ac:dyDescent="0.3">
      <c r="A18" s="3" t="s">
        <v>127</v>
      </c>
      <c r="B18" s="3" t="s">
        <v>104</v>
      </c>
      <c r="C18" s="26">
        <f>COUNTIF('Raceday Breakdown'!C:C,club_summary_data_22_23[[#This Row],[Club Name]])</f>
        <v>3</v>
      </c>
      <c r="D18" s="3">
        <f>SUMIF('Raceday Breakdown'!C:C,club_summary_data_22_23[[#This Row],[Club Name]],'Raceday Breakdown'!E:E)</f>
        <v>23</v>
      </c>
      <c r="E18" s="3">
        <f>SUMIF('Raceday Breakdown'!C:C,club_summary_data_22_23[[#This Row],[Club Name]],'Raceday Breakdown'!F:F)</f>
        <v>228</v>
      </c>
      <c r="F18" s="28">
        <f>club_summary_data_22_23[[#This Row],[Starters]]/club_summary_data_22_23[[#This Row],[Races]]</f>
        <v>9.9130434782608692</v>
      </c>
      <c r="G18" s="4">
        <f>SUMIF('Raceday Breakdown'!C:C,club_summary_data_22_23[[#This Row],[Club Name]],'Raceday Breakdown'!AE:AE)/club_summary_data_22_23[[#This Row],[Races]]</f>
        <v>0.30434782608695654</v>
      </c>
      <c r="H18" s="5">
        <f>SUMIF('Raceday Breakdown'!C:C,club_summary_data_22_23[[#This Row],[Club Name]],'Raceday Breakdown'!I:I)</f>
        <v>279745</v>
      </c>
      <c r="I18" s="5">
        <f>club_summary_data_22_23[[#This Row],[HRNZ Funded Stakes]]/club_summary_data_22_23[[#This Row],[Races]]</f>
        <v>12162.826086956522</v>
      </c>
      <c r="J18" s="4">
        <f>club_summary_data_22_23[[#This Row],[GBR]]/club_summary_data_22_23[[#This Row],[HRNZ Funded Stakes]]</f>
        <v>1.2493999293999889</v>
      </c>
      <c r="K18" s="5">
        <f>SUMIF('Raceday Breakdown'!C:C,club_summary_data_22_23[[#This Row],[Club Name]],'Raceday Breakdown'!AB:AB)</f>
        <v>1699883.031699999</v>
      </c>
      <c r="L18" s="5">
        <f>SUMIF('Raceday Breakdown'!C:C,club_summary_data_22_23[[#This Row],[Club Name]],'Raceday Breakdown'!AC:AC)</f>
        <v>349513.3832499999</v>
      </c>
      <c r="M18" s="5">
        <f>SUMIF('Raceday Breakdown'!C:C,club_summary_data_22_23[[#This Row],[Club Name]],'Raceday Breakdown'!O:O)</f>
        <v>331618.71999999997</v>
      </c>
      <c r="N18" s="5">
        <f>SUMIF('Raceday Breakdown'!C:C,club_summary_data_22_23[[#This Row],[Club Name]],'Raceday Breakdown'!P:P)</f>
        <v>504526.32</v>
      </c>
      <c r="O18" s="4">
        <f>club_summary_data_22_23[[#This Row],[GBR]]/club_summary_data_22_23[[#This Row],[Turnover]]</f>
        <v>0.20561025478350864</v>
      </c>
      <c r="P18" s="4">
        <f>club_summary_data_22_23[[#This Row],[GBR]]/club_summary_data_22_23[[#This Row],[Funding]]</f>
        <v>1.0539615593775886</v>
      </c>
      <c r="Q18" s="11">
        <f>club_summary_data_22_23[[#This Row],[Turnover]]/club_summary_data_22_23[[#This Row],[Funding]]</f>
        <v>5.1260165038330738</v>
      </c>
      <c r="R18" s="20">
        <f>club_summary_data_22_23[[#This Row],[Turnover]]/club_summary_data_22_23[[#This Row],[Races]]</f>
        <v>73907.95789999995</v>
      </c>
      <c r="S18" s="9">
        <f>0.03*club_summary_data_22_23[[#This Row],[Export TO (AUD)]]</f>
        <v>15135.7896</v>
      </c>
      <c r="T18" s="5">
        <f>club_summary_data_22_23[[#This Row],[GBR]]+club_summary_data_22_23[[#This Row],[Export Earned (AUD)]]</f>
        <v>364649.17284999992</v>
      </c>
    </row>
    <row r="19" spans="1:20" x14ac:dyDescent="0.3">
      <c r="A19" s="3" t="s">
        <v>127</v>
      </c>
      <c r="B19" s="3" t="s">
        <v>106</v>
      </c>
      <c r="C19" s="26">
        <f>COUNTIF('Raceday Breakdown'!C:C,club_summary_data_22_23[[#This Row],[Club Name]])</f>
        <v>2</v>
      </c>
      <c r="D19" s="3">
        <f>SUMIF('Raceday Breakdown'!C:C,club_summary_data_22_23[[#This Row],[Club Name]],'Raceday Breakdown'!E:E)</f>
        <v>23</v>
      </c>
      <c r="E19" s="3">
        <f>SUMIF('Raceday Breakdown'!C:C,club_summary_data_22_23[[#This Row],[Club Name]],'Raceday Breakdown'!F:F)</f>
        <v>235</v>
      </c>
      <c r="F19" s="28">
        <f>club_summary_data_22_23[[#This Row],[Starters]]/club_summary_data_22_23[[#This Row],[Races]]</f>
        <v>10.217391304347826</v>
      </c>
      <c r="G19" s="4">
        <f>SUMIF('Raceday Breakdown'!C:C,club_summary_data_22_23[[#This Row],[Club Name]],'Raceday Breakdown'!AE:AE)/club_summary_data_22_23[[#This Row],[Races]]</f>
        <v>0.43478260869565216</v>
      </c>
      <c r="H19" s="5">
        <f>SUMIF('Raceday Breakdown'!C:C,club_summary_data_22_23[[#This Row],[Club Name]],'Raceday Breakdown'!I:I)</f>
        <v>301392</v>
      </c>
      <c r="I19" s="5">
        <f>club_summary_data_22_23[[#This Row],[HRNZ Funded Stakes]]/club_summary_data_22_23[[#This Row],[Races]]</f>
        <v>13104</v>
      </c>
      <c r="J19" s="4">
        <f>club_summary_data_22_23[[#This Row],[GBR]]/club_summary_data_22_23[[#This Row],[HRNZ Funded Stakes]]</f>
        <v>1.1222722845994584</v>
      </c>
      <c r="K19" s="5">
        <f>SUMIF('Raceday Breakdown'!C:C,club_summary_data_22_23[[#This Row],[Club Name]],'Raceday Breakdown'!AB:AB)</f>
        <v>2132755.3813999989</v>
      </c>
      <c r="L19" s="5">
        <f>SUMIF('Raceday Breakdown'!C:C,club_summary_data_22_23[[#This Row],[Club Name]],'Raceday Breakdown'!AC:AC)</f>
        <v>338243.88839999994</v>
      </c>
      <c r="M19" s="5">
        <f>SUMIF('Raceday Breakdown'!C:C,club_summary_data_22_23[[#This Row],[Club Name]],'Raceday Breakdown'!O:O)</f>
        <v>353981.73</v>
      </c>
      <c r="N19" s="5">
        <f>SUMIF('Raceday Breakdown'!C:C,club_summary_data_22_23[[#This Row],[Club Name]],'Raceday Breakdown'!P:P)</f>
        <v>578273.69999999995</v>
      </c>
      <c r="O19" s="4">
        <f>club_summary_data_22_23[[#This Row],[GBR]]/club_summary_data_22_23[[#This Row],[Turnover]]</f>
        <v>0.15859478838964056</v>
      </c>
      <c r="P19" s="4">
        <f>club_summary_data_22_23[[#This Row],[GBR]]/club_summary_data_22_23[[#This Row],[Funding]]</f>
        <v>0.95554052577798287</v>
      </c>
      <c r="Q19" s="11">
        <f>club_summary_data_22_23[[#This Row],[Turnover]]/club_summary_data_22_23[[#This Row],[Funding]]</f>
        <v>6.0250436693441749</v>
      </c>
      <c r="R19" s="20">
        <f>club_summary_data_22_23[[#This Row],[Turnover]]/club_summary_data_22_23[[#This Row],[Races]]</f>
        <v>92728.494843478213</v>
      </c>
      <c r="S19" s="9">
        <f>0.03*club_summary_data_22_23[[#This Row],[Export TO (AUD)]]</f>
        <v>17348.210999999999</v>
      </c>
      <c r="T19" s="5">
        <f>club_summary_data_22_23[[#This Row],[GBR]]+club_summary_data_22_23[[#This Row],[Export Earned (AUD)]]</f>
        <v>355592.09939999995</v>
      </c>
    </row>
    <row r="20" spans="1:20" x14ac:dyDescent="0.3">
      <c r="A20" s="3" t="s">
        <v>127</v>
      </c>
      <c r="B20" s="3" t="s">
        <v>115</v>
      </c>
      <c r="C20" s="26">
        <f>COUNTIF('Raceday Breakdown'!C:C,club_summary_data_22_23[[#This Row],[Club Name]])</f>
        <v>1</v>
      </c>
      <c r="D20" s="3">
        <f>SUMIF('Raceday Breakdown'!C:C,club_summary_data_22_23[[#This Row],[Club Name]],'Raceday Breakdown'!E:E)</f>
        <v>11</v>
      </c>
      <c r="E20" s="3">
        <f>SUMIF('Raceday Breakdown'!C:C,club_summary_data_22_23[[#This Row],[Club Name]],'Raceday Breakdown'!F:F)</f>
        <v>112</v>
      </c>
      <c r="F20" s="28">
        <f>club_summary_data_22_23[[#This Row],[Starters]]/club_summary_data_22_23[[#This Row],[Races]]</f>
        <v>10.181818181818182</v>
      </c>
      <c r="G20" s="4">
        <f>SUMIF('Raceday Breakdown'!C:C,club_summary_data_22_23[[#This Row],[Club Name]],'Raceday Breakdown'!AE:AE)/club_summary_data_22_23[[#This Row],[Races]]</f>
        <v>0.27272727272727271</v>
      </c>
      <c r="H20" s="5">
        <f>SUMIF('Raceday Breakdown'!C:C,club_summary_data_22_23[[#This Row],[Club Name]],'Raceday Breakdown'!I:I)</f>
        <v>139732</v>
      </c>
      <c r="I20" s="5">
        <f>club_summary_data_22_23[[#This Row],[HRNZ Funded Stakes]]/club_summary_data_22_23[[#This Row],[Races]]</f>
        <v>12702.90909090909</v>
      </c>
      <c r="J20" s="4">
        <f>club_summary_data_22_23[[#This Row],[GBR]]/club_summary_data_22_23[[#This Row],[HRNZ Funded Stakes]]</f>
        <v>1.0406814544986109</v>
      </c>
      <c r="K20" s="5">
        <f>SUMIF('Raceday Breakdown'!C:C,club_summary_data_22_23[[#This Row],[Club Name]],'Raceday Breakdown'!AB:AB)</f>
        <v>890798.32609999902</v>
      </c>
      <c r="L20" s="5">
        <f>SUMIF('Raceday Breakdown'!C:C,club_summary_data_22_23[[#This Row],[Club Name]],'Raceday Breakdown'!AC:AC)</f>
        <v>145416.5009999999</v>
      </c>
      <c r="M20" s="5">
        <f>SUMIF('Raceday Breakdown'!C:C,club_summary_data_22_23[[#This Row],[Club Name]],'Raceday Breakdown'!O:O)</f>
        <v>155453.74</v>
      </c>
      <c r="N20" s="5">
        <f>SUMIF('Raceday Breakdown'!C:C,club_summary_data_22_23[[#This Row],[Club Name]],'Raceday Breakdown'!P:P)</f>
        <v>379840.34</v>
      </c>
      <c r="O20" s="4">
        <f>club_summary_data_22_23[[#This Row],[GBR]]/club_summary_data_22_23[[#This Row],[Turnover]]</f>
        <v>0.16324289880140139</v>
      </c>
      <c r="P20" s="4">
        <f>club_summary_data_22_23[[#This Row],[GBR]]/club_summary_data_22_23[[#This Row],[Funding]]</f>
        <v>0.93543263095503471</v>
      </c>
      <c r="Q20" s="11">
        <f>club_summary_data_22_23[[#This Row],[Turnover]]/club_summary_data_22_23[[#This Row],[Funding]]</f>
        <v>5.7303113202680045</v>
      </c>
      <c r="R20" s="20">
        <f>club_summary_data_22_23[[#This Row],[Turnover]]/club_summary_data_22_23[[#This Row],[Races]]</f>
        <v>80981.666009090826</v>
      </c>
      <c r="S20" s="9">
        <f>0.03*club_summary_data_22_23[[#This Row],[Export TO (AUD)]]</f>
        <v>11395.2102</v>
      </c>
      <c r="T20" s="5">
        <f>club_summary_data_22_23[[#This Row],[GBR]]+club_summary_data_22_23[[#This Row],[Export Earned (AUD)]]</f>
        <v>156811.7111999999</v>
      </c>
    </row>
    <row r="21" spans="1:20" x14ac:dyDescent="0.3">
      <c r="A21" s="3" t="s">
        <v>127</v>
      </c>
      <c r="B21" s="3" t="s">
        <v>80</v>
      </c>
      <c r="C21" s="26">
        <f>COUNTIF('Raceday Breakdown'!C:C,club_summary_data_22_23[[#This Row],[Club Name]])</f>
        <v>51</v>
      </c>
      <c r="D21" s="3">
        <f>SUMIF('Raceday Breakdown'!C:C,club_summary_data_22_23[[#This Row],[Club Name]],'Raceday Breakdown'!E:E)</f>
        <v>501</v>
      </c>
      <c r="E21" s="3">
        <f>SUMIF('Raceday Breakdown'!C:C,club_summary_data_22_23[[#This Row],[Club Name]],'Raceday Breakdown'!F:F)</f>
        <v>5099</v>
      </c>
      <c r="F21" s="28">
        <f>club_summary_data_22_23[[#This Row],[Starters]]/club_summary_data_22_23[[#This Row],[Races]]</f>
        <v>10.177644710578843</v>
      </c>
      <c r="G21" s="4">
        <f>SUMIF('Raceday Breakdown'!C:C,club_summary_data_22_23[[#This Row],[Club Name]],'Raceday Breakdown'!AE:AE)/club_summary_data_22_23[[#This Row],[Races]]</f>
        <v>0.39920159680638723</v>
      </c>
      <c r="H21" s="5">
        <f>SUMIF('Raceday Breakdown'!C:C,club_summary_data_22_23[[#This Row],[Club Name]],'Raceday Breakdown'!I:I)</f>
        <v>14453005</v>
      </c>
      <c r="I21" s="5">
        <f>club_summary_data_22_23[[#This Row],[HRNZ Funded Stakes]]/club_summary_data_22_23[[#This Row],[Races]]</f>
        <v>28848.313373253492</v>
      </c>
      <c r="J21" s="4">
        <f>club_summary_data_22_23[[#This Row],[GBR]]/club_summary_data_22_23[[#This Row],[HRNZ Funded Stakes]]</f>
        <v>0.66349342427405222</v>
      </c>
      <c r="K21" s="5">
        <f>SUMIF('Raceday Breakdown'!C:C,club_summary_data_22_23[[#This Row],[Club Name]],'Raceday Breakdown'!AB:AB)</f>
        <v>53616843.252499968</v>
      </c>
      <c r="L21" s="5">
        <f>SUMIF('Raceday Breakdown'!C:C,club_summary_data_22_23[[#This Row],[Club Name]],'Raceday Breakdown'!AC:AC)</f>
        <v>9589473.7784999982</v>
      </c>
      <c r="M21" s="5">
        <f>SUMIF('Raceday Breakdown'!C:C,club_summary_data_22_23[[#This Row],[Club Name]],'Raceday Breakdown'!O:O)</f>
        <v>14851080.239999996</v>
      </c>
      <c r="N21" s="5">
        <f>SUMIF('Raceday Breakdown'!C:C,club_summary_data_22_23[[#This Row],[Club Name]],'Raceday Breakdown'!P:P)</f>
        <v>15554599.279999999</v>
      </c>
      <c r="O21" s="4">
        <f>club_summary_data_22_23[[#This Row],[GBR]]/club_summary_data_22_23[[#This Row],[Turnover]]</f>
        <v>0.17885189050276423</v>
      </c>
      <c r="P21" s="4">
        <f>club_summary_data_22_23[[#This Row],[GBR]]/club_summary_data_22_23[[#This Row],[Funding]]</f>
        <v>0.64570883892147102</v>
      </c>
      <c r="Q21" s="11">
        <f>club_summary_data_22_23[[#This Row],[Turnover]]/club_summary_data_22_23[[#This Row],[Funding]]</f>
        <v>3.6102992096216684</v>
      </c>
      <c r="R21" s="20">
        <f>club_summary_data_22_23[[#This Row],[Turnover]]/club_summary_data_22_23[[#This Row],[Races]]</f>
        <v>107019.64721057878</v>
      </c>
      <c r="S21" s="9">
        <f>0.03*club_summary_data_22_23[[#This Row],[Export TO (AUD)]]</f>
        <v>466637.97839999996</v>
      </c>
      <c r="T21" s="5">
        <f>club_summary_data_22_23[[#This Row],[GBR]]+club_summary_data_22_23[[#This Row],[Export Earned (AUD)]]</f>
        <v>10056111.756899998</v>
      </c>
    </row>
    <row r="22" spans="1:20" x14ac:dyDescent="0.3">
      <c r="A22" s="3" t="s">
        <v>127</v>
      </c>
      <c r="B22" s="3" t="s">
        <v>88</v>
      </c>
      <c r="C22" s="26">
        <f>COUNTIF('Raceday Breakdown'!C:C,club_summary_data_22_23[[#This Row],[Club Name]])</f>
        <v>4</v>
      </c>
      <c r="D22" s="3">
        <f>SUMIF('Raceday Breakdown'!C:C,club_summary_data_22_23[[#This Row],[Club Name]],'Raceday Breakdown'!E:E)</f>
        <v>40</v>
      </c>
      <c r="E22" s="3">
        <f>SUMIF('Raceday Breakdown'!C:C,club_summary_data_22_23[[#This Row],[Club Name]],'Raceday Breakdown'!F:F)</f>
        <v>415</v>
      </c>
      <c r="F22" s="28">
        <f>club_summary_data_22_23[[#This Row],[Starters]]/club_summary_data_22_23[[#This Row],[Races]]</f>
        <v>10.375</v>
      </c>
      <c r="G22" s="4">
        <f>SUMIF('Raceday Breakdown'!C:C,club_summary_data_22_23[[#This Row],[Club Name]],'Raceday Breakdown'!AE:AE)/club_summary_data_22_23[[#This Row],[Races]]</f>
        <v>0.42499999999999999</v>
      </c>
      <c r="H22" s="5">
        <f>SUMIF('Raceday Breakdown'!C:C,club_summary_data_22_23[[#This Row],[Club Name]],'Raceday Breakdown'!I:I)</f>
        <v>511098</v>
      </c>
      <c r="I22" s="5">
        <f>club_summary_data_22_23[[#This Row],[HRNZ Funded Stakes]]/club_summary_data_22_23[[#This Row],[Races]]</f>
        <v>12777.45</v>
      </c>
      <c r="J22" s="4">
        <f>club_summary_data_22_23[[#This Row],[GBR]]/club_summary_data_22_23[[#This Row],[HRNZ Funded Stakes]]</f>
        <v>1.0703930549522769</v>
      </c>
      <c r="K22" s="5">
        <f>SUMIF('Raceday Breakdown'!C:C,club_summary_data_22_23[[#This Row],[Club Name]],'Raceday Breakdown'!AB:AB)</f>
        <v>3202615.6800999967</v>
      </c>
      <c r="L22" s="5">
        <f>SUMIF('Raceday Breakdown'!C:C,club_summary_data_22_23[[#This Row],[Club Name]],'Raceday Breakdown'!AC:AC)</f>
        <v>547075.74959999882</v>
      </c>
      <c r="M22" s="5">
        <f>SUMIF('Raceday Breakdown'!C:C,club_summary_data_22_23[[#This Row],[Club Name]],'Raceday Breakdown'!O:O)</f>
        <v>607953</v>
      </c>
      <c r="N22" s="5">
        <f>SUMIF('Raceday Breakdown'!C:C,club_summary_data_22_23[[#This Row],[Club Name]],'Raceday Breakdown'!P:P)</f>
        <v>1121993.8399999999</v>
      </c>
      <c r="O22" s="4">
        <f>club_summary_data_22_23[[#This Row],[GBR]]/club_summary_data_22_23[[#This Row],[Turnover]]</f>
        <v>0.17082154221605422</v>
      </c>
      <c r="P22" s="4">
        <f>club_summary_data_22_23[[#This Row],[GBR]]/club_summary_data_22_23[[#This Row],[Funding]]</f>
        <v>0.89986520273770965</v>
      </c>
      <c r="Q22" s="11">
        <f>club_summary_data_22_23[[#This Row],[Turnover]]/club_summary_data_22_23[[#This Row],[Funding]]</f>
        <v>5.2678672201633958</v>
      </c>
      <c r="R22" s="20">
        <f>club_summary_data_22_23[[#This Row],[Turnover]]/club_summary_data_22_23[[#This Row],[Races]]</f>
        <v>80065.392002499924</v>
      </c>
      <c r="S22" s="9">
        <f>0.03*club_summary_data_22_23[[#This Row],[Export TO (AUD)]]</f>
        <v>33659.815199999997</v>
      </c>
      <c r="T22" s="5">
        <f>club_summary_data_22_23[[#This Row],[GBR]]+club_summary_data_22_23[[#This Row],[Export Earned (AUD)]]</f>
        <v>580735.56479999877</v>
      </c>
    </row>
    <row r="23" spans="1:20" x14ac:dyDescent="0.3">
      <c r="A23" s="3" t="s">
        <v>127</v>
      </c>
      <c r="B23" s="3" t="s">
        <v>105</v>
      </c>
      <c r="C23" s="26">
        <f>COUNTIF('Raceday Breakdown'!C:C,club_summary_data_22_23[[#This Row],[Club Name]])</f>
        <v>3</v>
      </c>
      <c r="D23" s="3">
        <f>SUMIF('Raceday Breakdown'!C:C,club_summary_data_22_23[[#This Row],[Club Name]],'Raceday Breakdown'!E:E)</f>
        <v>35</v>
      </c>
      <c r="E23" s="3">
        <f>SUMIF('Raceday Breakdown'!C:C,club_summary_data_22_23[[#This Row],[Club Name]],'Raceday Breakdown'!F:F)</f>
        <v>366</v>
      </c>
      <c r="F23" s="28">
        <f>club_summary_data_22_23[[#This Row],[Starters]]/club_summary_data_22_23[[#This Row],[Races]]</f>
        <v>10.457142857142857</v>
      </c>
      <c r="G23" s="4">
        <f>SUMIF('Raceday Breakdown'!C:C,club_summary_data_22_23[[#This Row],[Club Name]],'Raceday Breakdown'!AE:AE)/club_summary_data_22_23[[#This Row],[Races]]</f>
        <v>0.31428571428571428</v>
      </c>
      <c r="H23" s="5">
        <f>SUMIF('Raceday Breakdown'!C:C,club_summary_data_22_23[[#This Row],[Club Name]],'Raceday Breakdown'!I:I)</f>
        <v>455106</v>
      </c>
      <c r="I23" s="5">
        <f>club_summary_data_22_23[[#This Row],[HRNZ Funded Stakes]]/club_summary_data_22_23[[#This Row],[Races]]</f>
        <v>13003.028571428571</v>
      </c>
      <c r="J23" s="4">
        <f>club_summary_data_22_23[[#This Row],[GBR]]/club_summary_data_22_23[[#This Row],[HRNZ Funded Stakes]]</f>
        <v>1.3114638150233087</v>
      </c>
      <c r="K23" s="5">
        <f>SUMIF('Raceday Breakdown'!C:C,club_summary_data_22_23[[#This Row],[Club Name]],'Raceday Breakdown'!AB:AB)</f>
        <v>3693138.960399997</v>
      </c>
      <c r="L23" s="5">
        <f>SUMIF('Raceday Breakdown'!C:C,club_summary_data_22_23[[#This Row],[Club Name]],'Raceday Breakdown'!AC:AC)</f>
        <v>596855.05099999788</v>
      </c>
      <c r="M23" s="5">
        <f>SUMIF('Raceday Breakdown'!C:C,club_summary_data_22_23[[#This Row],[Club Name]],'Raceday Breakdown'!O:O)</f>
        <v>566745.01</v>
      </c>
      <c r="N23" s="5">
        <f>SUMIF('Raceday Breakdown'!C:C,club_summary_data_22_23[[#This Row],[Club Name]],'Raceday Breakdown'!P:P)</f>
        <v>1029063.96</v>
      </c>
      <c r="O23" s="4">
        <f>club_summary_data_22_23[[#This Row],[GBR]]/club_summary_data_22_23[[#This Row],[Turnover]]</f>
        <v>0.16161185847590032</v>
      </c>
      <c r="P23" s="4">
        <f>club_summary_data_22_23[[#This Row],[GBR]]/club_summary_data_22_23[[#This Row],[Funding]]</f>
        <v>1.0531280213653718</v>
      </c>
      <c r="Q23" s="11">
        <f>club_summary_data_22_23[[#This Row],[Turnover]]/club_summary_data_22_23[[#This Row],[Funding]]</f>
        <v>6.5164031358652759</v>
      </c>
      <c r="R23" s="20">
        <f>club_summary_data_22_23[[#This Row],[Turnover]]/club_summary_data_22_23[[#This Row],[Races]]</f>
        <v>105518.25601142849</v>
      </c>
      <c r="S23" s="9">
        <f>0.03*club_summary_data_22_23[[#This Row],[Export TO (AUD)]]</f>
        <v>30871.918799999999</v>
      </c>
      <c r="T23" s="5">
        <f>club_summary_data_22_23[[#This Row],[GBR]]+club_summary_data_22_23[[#This Row],[Export Earned (AUD)]]</f>
        <v>627726.96979999787</v>
      </c>
    </row>
    <row r="24" spans="1:20" x14ac:dyDescent="0.3">
      <c r="A24" s="3" t="s">
        <v>127</v>
      </c>
      <c r="B24" s="3" t="s">
        <v>117</v>
      </c>
      <c r="C24" s="26">
        <f>COUNTIF('Raceday Breakdown'!C:C,club_summary_data_22_23[[#This Row],[Club Name]])</f>
        <v>1</v>
      </c>
      <c r="D24" s="3">
        <f>SUMIF('Raceday Breakdown'!C:C,club_summary_data_22_23[[#This Row],[Club Name]],'Raceday Breakdown'!E:E)</f>
        <v>10</v>
      </c>
      <c r="E24" s="3">
        <f>SUMIF('Raceday Breakdown'!C:C,club_summary_data_22_23[[#This Row],[Club Name]],'Raceday Breakdown'!F:F)</f>
        <v>106</v>
      </c>
      <c r="F24" s="28">
        <f>club_summary_data_22_23[[#This Row],[Starters]]/club_summary_data_22_23[[#This Row],[Races]]</f>
        <v>10.6</v>
      </c>
      <c r="G24" s="4">
        <f>SUMIF('Raceday Breakdown'!C:C,club_summary_data_22_23[[#This Row],[Club Name]],'Raceday Breakdown'!AE:AE)/club_summary_data_22_23[[#This Row],[Races]]</f>
        <v>0.4</v>
      </c>
      <c r="H24" s="5">
        <f>SUMIF('Raceday Breakdown'!C:C,club_summary_data_22_23[[#This Row],[Club Name]],'Raceday Breakdown'!I:I)</f>
        <v>120019</v>
      </c>
      <c r="I24" s="5">
        <f>club_summary_data_22_23[[#This Row],[HRNZ Funded Stakes]]/club_summary_data_22_23[[#This Row],[Races]]</f>
        <v>12001.9</v>
      </c>
      <c r="J24" s="4">
        <f>club_summary_data_22_23[[#This Row],[GBR]]/club_summary_data_22_23[[#This Row],[HRNZ Funded Stakes]]</f>
        <v>1.6038383889217533</v>
      </c>
      <c r="K24" s="5">
        <f>SUMIF('Raceday Breakdown'!C:C,club_summary_data_22_23[[#This Row],[Club Name]],'Raceday Breakdown'!AB:AB)</f>
        <v>734090.44449999905</v>
      </c>
      <c r="L24" s="5">
        <f>SUMIF('Raceday Breakdown'!C:C,club_summary_data_22_23[[#This Row],[Club Name]],'Raceday Breakdown'!AC:AC)</f>
        <v>192491.07959999991</v>
      </c>
      <c r="M24" s="5">
        <f>SUMIF('Raceday Breakdown'!C:C,club_summary_data_22_23[[#This Row],[Club Name]],'Raceday Breakdown'!O:O)</f>
        <v>137343.74</v>
      </c>
      <c r="N24" s="5">
        <f>SUMIF('Raceday Breakdown'!C:C,club_summary_data_22_23[[#This Row],[Club Name]],'Raceday Breakdown'!P:P)</f>
        <v>191605.46000000002</v>
      </c>
      <c r="O24" s="4">
        <f>club_summary_data_22_23[[#This Row],[GBR]]/club_summary_data_22_23[[#This Row],[Turnover]]</f>
        <v>0.26221711649047375</v>
      </c>
      <c r="P24" s="4">
        <f>club_summary_data_22_23[[#This Row],[GBR]]/club_summary_data_22_23[[#This Row],[Funding]]</f>
        <v>1.4015278716015738</v>
      </c>
      <c r="Q24" s="11">
        <f>club_summary_data_22_23[[#This Row],[Turnover]]/club_summary_data_22_23[[#This Row],[Funding]]</f>
        <v>5.344913750710437</v>
      </c>
      <c r="R24" s="20">
        <f>club_summary_data_22_23[[#This Row],[Turnover]]/club_summary_data_22_23[[#This Row],[Races]]</f>
        <v>73409.044449999899</v>
      </c>
      <c r="S24" s="9">
        <f>0.03*club_summary_data_22_23[[#This Row],[Export TO (AUD)]]</f>
        <v>5748.1638000000003</v>
      </c>
      <c r="T24" s="5">
        <f>club_summary_data_22_23[[#This Row],[GBR]]+club_summary_data_22_23[[#This Row],[Export Earned (AUD)]]</f>
        <v>198239.24339999992</v>
      </c>
    </row>
    <row r="25" spans="1:20" x14ac:dyDescent="0.3">
      <c r="A25" s="3" t="s">
        <v>127</v>
      </c>
      <c r="B25" s="3" t="s">
        <v>89</v>
      </c>
      <c r="C25" s="26">
        <f>COUNTIF('Raceday Breakdown'!C:C,club_summary_data_22_23[[#This Row],[Club Name]])</f>
        <v>10</v>
      </c>
      <c r="D25" s="3">
        <f>SUMIF('Raceday Breakdown'!C:C,club_summary_data_22_23[[#This Row],[Club Name]],'Raceday Breakdown'!E:E)</f>
        <v>100</v>
      </c>
      <c r="E25" s="3">
        <f>SUMIF('Raceday Breakdown'!C:C,club_summary_data_22_23[[#This Row],[Club Name]],'Raceday Breakdown'!F:F)</f>
        <v>1061</v>
      </c>
      <c r="F25" s="28">
        <f>club_summary_data_22_23[[#This Row],[Starters]]/club_summary_data_22_23[[#This Row],[Races]]</f>
        <v>10.61</v>
      </c>
      <c r="G25" s="4">
        <f>SUMIF('Raceday Breakdown'!C:C,club_summary_data_22_23[[#This Row],[Club Name]],'Raceday Breakdown'!AE:AE)/club_summary_data_22_23[[#This Row],[Races]]</f>
        <v>0.47</v>
      </c>
      <c r="H25" s="5">
        <f>SUMIF('Raceday Breakdown'!C:C,club_summary_data_22_23[[#This Row],[Club Name]],'Raceday Breakdown'!I:I)</f>
        <v>1212924</v>
      </c>
      <c r="I25" s="5">
        <f>club_summary_data_22_23[[#This Row],[HRNZ Funded Stakes]]/club_summary_data_22_23[[#This Row],[Races]]</f>
        <v>12129.24</v>
      </c>
      <c r="J25" s="4">
        <f>club_summary_data_22_23[[#This Row],[GBR]]/club_summary_data_22_23[[#This Row],[HRNZ Funded Stakes]]</f>
        <v>0.83324015544254915</v>
      </c>
      <c r="K25" s="5">
        <f>SUMIF('Raceday Breakdown'!C:C,club_summary_data_22_23[[#This Row],[Club Name]],'Raceday Breakdown'!AB:AB)</f>
        <v>7814255.0896999957</v>
      </c>
      <c r="L25" s="5">
        <f>SUMIF('Raceday Breakdown'!C:C,club_summary_data_22_23[[#This Row],[Club Name]],'Raceday Breakdown'!AC:AC)</f>
        <v>1010656.9822999985</v>
      </c>
      <c r="M25" s="5">
        <f>SUMIF('Raceday Breakdown'!C:C,club_summary_data_22_23[[#This Row],[Club Name]],'Raceday Breakdown'!O:O)</f>
        <v>1536893.75</v>
      </c>
      <c r="N25" s="5">
        <f>SUMIF('Raceday Breakdown'!C:C,club_summary_data_22_23[[#This Row],[Club Name]],'Raceday Breakdown'!P:P)</f>
        <v>2086145.74</v>
      </c>
      <c r="O25" s="4">
        <f>club_summary_data_22_23[[#This Row],[GBR]]/club_summary_data_22_23[[#This Row],[Turnover]]</f>
        <v>0.1293350384263946</v>
      </c>
      <c r="P25" s="4">
        <f>club_summary_data_22_23[[#This Row],[GBR]]/club_summary_data_22_23[[#This Row],[Funding]]</f>
        <v>0.65759717111218552</v>
      </c>
      <c r="Q25" s="11">
        <f>club_summary_data_22_23[[#This Row],[Turnover]]/club_summary_data_22_23[[#This Row],[Funding]]</f>
        <v>5.0844471777570801</v>
      </c>
      <c r="R25" s="20">
        <f>club_summary_data_22_23[[#This Row],[Turnover]]/club_summary_data_22_23[[#This Row],[Races]]</f>
        <v>78142.55089699995</v>
      </c>
      <c r="S25" s="9">
        <f>0.03*club_summary_data_22_23[[#This Row],[Export TO (AUD)]]</f>
        <v>62584.372199999998</v>
      </c>
      <c r="T25" s="5">
        <f>club_summary_data_22_23[[#This Row],[GBR]]+club_summary_data_22_23[[#This Row],[Export Earned (AUD)]]</f>
        <v>1073241.3544999985</v>
      </c>
    </row>
    <row r="26" spans="1:20" x14ac:dyDescent="0.3">
      <c r="A26" s="3" t="s">
        <v>127</v>
      </c>
      <c r="B26" s="3" t="s">
        <v>113</v>
      </c>
      <c r="C26" s="26">
        <f>COUNTIF('Raceday Breakdown'!C:C,club_summary_data_22_23[[#This Row],[Club Name]])</f>
        <v>2</v>
      </c>
      <c r="D26" s="3">
        <f>SUMIF('Raceday Breakdown'!C:C,club_summary_data_22_23[[#This Row],[Club Name]],'Raceday Breakdown'!E:E)</f>
        <v>19</v>
      </c>
      <c r="E26" s="3">
        <f>SUMIF('Raceday Breakdown'!C:C,club_summary_data_22_23[[#This Row],[Club Name]],'Raceday Breakdown'!F:F)</f>
        <v>194</v>
      </c>
      <c r="F26" s="28">
        <f>club_summary_data_22_23[[#This Row],[Starters]]/club_summary_data_22_23[[#This Row],[Races]]</f>
        <v>10.210526315789474</v>
      </c>
      <c r="G26" s="4">
        <f>SUMIF('Raceday Breakdown'!C:C,club_summary_data_22_23[[#This Row],[Club Name]],'Raceday Breakdown'!AE:AE)/club_summary_data_22_23[[#This Row],[Races]]</f>
        <v>0.31578947368421051</v>
      </c>
      <c r="H26" s="5">
        <f>SUMIF('Raceday Breakdown'!C:C,club_summary_data_22_23[[#This Row],[Club Name]],'Raceday Breakdown'!I:I)</f>
        <v>239265</v>
      </c>
      <c r="I26" s="5">
        <f>club_summary_data_22_23[[#This Row],[HRNZ Funded Stakes]]/club_summary_data_22_23[[#This Row],[Races]]</f>
        <v>12592.894736842105</v>
      </c>
      <c r="J26" s="4">
        <f>club_summary_data_22_23[[#This Row],[GBR]]/club_summary_data_22_23[[#This Row],[HRNZ Funded Stakes]]</f>
        <v>1.348149397529935</v>
      </c>
      <c r="K26" s="5">
        <f>SUMIF('Raceday Breakdown'!C:C,club_summary_data_22_23[[#This Row],[Club Name]],'Raceday Breakdown'!AB:AB)</f>
        <v>1320636.140799999</v>
      </c>
      <c r="L26" s="5">
        <f>SUMIF('Raceday Breakdown'!C:C,club_summary_data_22_23[[#This Row],[Club Name]],'Raceday Breakdown'!AC:AC)</f>
        <v>322564.96559999988</v>
      </c>
      <c r="M26" s="5">
        <f>SUMIF('Raceday Breakdown'!C:C,club_summary_data_22_23[[#This Row],[Club Name]],'Raceday Breakdown'!O:O)</f>
        <v>270732.48</v>
      </c>
      <c r="N26" s="5">
        <f>SUMIF('Raceday Breakdown'!C:C,club_summary_data_22_23[[#This Row],[Club Name]],'Raceday Breakdown'!P:P)</f>
        <v>362892.49</v>
      </c>
      <c r="O26" s="4">
        <f>club_summary_data_22_23[[#This Row],[GBR]]/club_summary_data_22_23[[#This Row],[Turnover]]</f>
        <v>0.24424968818784587</v>
      </c>
      <c r="P26" s="4">
        <f>club_summary_data_22_23[[#This Row],[GBR]]/club_summary_data_22_23[[#This Row],[Funding]]</f>
        <v>1.1914527787726095</v>
      </c>
      <c r="Q26" s="11">
        <f>club_summary_data_22_23[[#This Row],[Turnover]]/club_summary_data_22_23[[#This Row],[Funding]]</f>
        <v>4.8780114628285425</v>
      </c>
      <c r="R26" s="20">
        <f>club_summary_data_22_23[[#This Row],[Turnover]]/club_summary_data_22_23[[#This Row],[Races]]</f>
        <v>69507.165305263101</v>
      </c>
      <c r="S26" s="9">
        <f>0.03*club_summary_data_22_23[[#This Row],[Export TO (AUD)]]</f>
        <v>10886.7747</v>
      </c>
      <c r="T26" s="5">
        <f>club_summary_data_22_23[[#This Row],[GBR]]+club_summary_data_22_23[[#This Row],[Export Earned (AUD)]]</f>
        <v>333451.74029999989</v>
      </c>
    </row>
    <row r="27" spans="1:20" x14ac:dyDescent="0.3">
      <c r="A27" s="3" t="s">
        <v>127</v>
      </c>
      <c r="B27" s="3" t="s">
        <v>95</v>
      </c>
      <c r="C27" s="26">
        <f>COUNTIF('Raceday Breakdown'!C:C,club_summary_data_22_23[[#This Row],[Club Name]])</f>
        <v>5</v>
      </c>
      <c r="D27" s="3">
        <f>SUMIF('Raceday Breakdown'!C:C,club_summary_data_22_23[[#This Row],[Club Name]],'Raceday Breakdown'!E:E)</f>
        <v>52</v>
      </c>
      <c r="E27" s="3">
        <f>SUMIF('Raceday Breakdown'!C:C,club_summary_data_22_23[[#This Row],[Club Name]],'Raceday Breakdown'!F:F)</f>
        <v>548</v>
      </c>
      <c r="F27" s="28">
        <f>club_summary_data_22_23[[#This Row],[Starters]]/club_summary_data_22_23[[#This Row],[Races]]</f>
        <v>10.538461538461538</v>
      </c>
      <c r="G27" s="4">
        <f>SUMIF('Raceday Breakdown'!C:C,club_summary_data_22_23[[#This Row],[Club Name]],'Raceday Breakdown'!AE:AE)/club_summary_data_22_23[[#This Row],[Races]]</f>
        <v>0.34615384615384615</v>
      </c>
      <c r="H27" s="5">
        <f>SUMIF('Raceday Breakdown'!C:C,club_summary_data_22_23[[#This Row],[Club Name]],'Raceday Breakdown'!I:I)</f>
        <v>599400</v>
      </c>
      <c r="I27" s="5">
        <f>club_summary_data_22_23[[#This Row],[HRNZ Funded Stakes]]/club_summary_data_22_23[[#This Row],[Races]]</f>
        <v>11526.923076923076</v>
      </c>
      <c r="J27" s="4">
        <f>club_summary_data_22_23[[#This Row],[GBR]]/club_summary_data_22_23[[#This Row],[HRNZ Funded Stakes]]</f>
        <v>0.93986207357357165</v>
      </c>
      <c r="K27" s="5">
        <f>SUMIF('Raceday Breakdown'!C:C,club_summary_data_22_23[[#This Row],[Club Name]],'Raceday Breakdown'!AB:AB)</f>
        <v>4094655.0653999969</v>
      </c>
      <c r="L27" s="5">
        <f>SUMIF('Raceday Breakdown'!C:C,club_summary_data_22_23[[#This Row],[Club Name]],'Raceday Breakdown'!AC:AC)</f>
        <v>563353.32689999882</v>
      </c>
      <c r="M27" s="5">
        <f>SUMIF('Raceday Breakdown'!C:C,club_summary_data_22_23[[#This Row],[Club Name]],'Raceday Breakdown'!O:O)</f>
        <v>545348</v>
      </c>
      <c r="N27" s="5">
        <f>SUMIF('Raceday Breakdown'!C:C,club_summary_data_22_23[[#This Row],[Club Name]],'Raceday Breakdown'!P:P)</f>
        <v>1032004.19</v>
      </c>
      <c r="O27" s="4">
        <f>club_summary_data_22_23[[#This Row],[GBR]]/club_summary_data_22_23[[#This Row],[Turnover]]</f>
        <v>0.13758260901152761</v>
      </c>
      <c r="P27" s="4">
        <f>club_summary_data_22_23[[#This Row],[GBR]]/club_summary_data_22_23[[#This Row],[Funding]]</f>
        <v>1.0330162151506905</v>
      </c>
      <c r="Q27" s="11">
        <f>club_summary_data_22_23[[#This Row],[Turnover]]/club_summary_data_22_23[[#This Row],[Funding]]</f>
        <v>7.5083342478564088</v>
      </c>
      <c r="R27" s="20">
        <f>club_summary_data_22_23[[#This Row],[Turnover]]/club_summary_data_22_23[[#This Row],[Races]]</f>
        <v>78743.366642307636</v>
      </c>
      <c r="S27" s="9">
        <f>0.03*club_summary_data_22_23[[#This Row],[Export TO (AUD)]]</f>
        <v>30960.125699999997</v>
      </c>
      <c r="T27" s="5">
        <f>club_summary_data_22_23[[#This Row],[GBR]]+club_summary_data_22_23[[#This Row],[Export Earned (AUD)]]</f>
        <v>594313.4525999988</v>
      </c>
    </row>
    <row r="28" spans="1:20" x14ac:dyDescent="0.3">
      <c r="A28" s="3" t="s">
        <v>127</v>
      </c>
      <c r="B28" s="3" t="s">
        <v>86</v>
      </c>
      <c r="C28" s="26">
        <f>COUNTIF('Raceday Breakdown'!C:C,club_summary_data_22_23[[#This Row],[Club Name]])</f>
        <v>10</v>
      </c>
      <c r="D28" s="3">
        <f>SUMIF('Raceday Breakdown'!C:C,club_summary_data_22_23[[#This Row],[Club Name]],'Raceday Breakdown'!E:E)</f>
        <v>103</v>
      </c>
      <c r="E28" s="3">
        <f>SUMIF('Raceday Breakdown'!C:C,club_summary_data_22_23[[#This Row],[Club Name]],'Raceday Breakdown'!F:F)</f>
        <v>1132</v>
      </c>
      <c r="F28" s="28">
        <f>club_summary_data_22_23[[#This Row],[Starters]]/club_summary_data_22_23[[#This Row],[Races]]</f>
        <v>10.990291262135923</v>
      </c>
      <c r="G28" s="4">
        <f>SUMIF('Raceday Breakdown'!C:C,club_summary_data_22_23[[#This Row],[Club Name]],'Raceday Breakdown'!AE:AE)/club_summary_data_22_23[[#This Row],[Races]]</f>
        <v>0.31067961165048541</v>
      </c>
      <c r="H28" s="5">
        <f>SUMIF('Raceday Breakdown'!C:C,club_summary_data_22_23[[#This Row],[Club Name]],'Raceday Breakdown'!I:I)</f>
        <v>1576267</v>
      </c>
      <c r="I28" s="5">
        <f>club_summary_data_22_23[[#This Row],[HRNZ Funded Stakes]]/club_summary_data_22_23[[#This Row],[Races]]</f>
        <v>15303.563106796117</v>
      </c>
      <c r="J28" s="4">
        <f>club_summary_data_22_23[[#This Row],[GBR]]/club_summary_data_22_23[[#This Row],[HRNZ Funded Stakes]]</f>
        <v>1.0831307458698298</v>
      </c>
      <c r="K28" s="5">
        <f>SUMIF('Raceday Breakdown'!C:C,club_summary_data_22_23[[#This Row],[Club Name]],'Raceday Breakdown'!AB:AB)</f>
        <v>9685162.6992999949</v>
      </c>
      <c r="L28" s="5">
        <f>SUMIF('Raceday Breakdown'!C:C,club_summary_data_22_23[[#This Row],[Club Name]],'Raceday Breakdown'!AC:AC)</f>
        <v>1707303.251399999</v>
      </c>
      <c r="M28" s="5">
        <f>SUMIF('Raceday Breakdown'!C:C,club_summary_data_22_23[[#This Row],[Club Name]],'Raceday Breakdown'!O:O)</f>
        <v>1617647.16</v>
      </c>
      <c r="N28" s="5">
        <f>SUMIF('Raceday Breakdown'!C:C,club_summary_data_22_23[[#This Row],[Club Name]],'Raceday Breakdown'!P:P)</f>
        <v>2529556.1700000004</v>
      </c>
      <c r="O28" s="4">
        <f>club_summary_data_22_23[[#This Row],[GBR]]/club_summary_data_22_23[[#This Row],[Turnover]]</f>
        <v>0.17628028608372229</v>
      </c>
      <c r="P28" s="4">
        <f>club_summary_data_22_23[[#This Row],[GBR]]/club_summary_data_22_23[[#This Row],[Funding]]</f>
        <v>1.0554237621262224</v>
      </c>
      <c r="Q28" s="11">
        <f>club_summary_data_22_23[[#This Row],[Turnover]]/club_summary_data_22_23[[#This Row],[Funding]]</f>
        <v>5.9871911123684072</v>
      </c>
      <c r="R28" s="20">
        <f>club_summary_data_22_23[[#This Row],[Turnover]]/club_summary_data_22_23[[#This Row],[Races]]</f>
        <v>94030.705818446557</v>
      </c>
      <c r="S28" s="9">
        <f>0.03*club_summary_data_22_23[[#This Row],[Export TO (AUD)]]</f>
        <v>75886.685100000002</v>
      </c>
      <c r="T28" s="5">
        <f>club_summary_data_22_23[[#This Row],[GBR]]+club_summary_data_22_23[[#This Row],[Export Earned (AUD)]]</f>
        <v>1783189.9364999989</v>
      </c>
    </row>
    <row r="29" spans="1:20" x14ac:dyDescent="0.3">
      <c r="A29" s="3" t="s">
        <v>127</v>
      </c>
      <c r="B29" s="3" t="s">
        <v>114</v>
      </c>
      <c r="C29" s="26">
        <f>COUNTIF('Raceday Breakdown'!C:C,club_summary_data_22_23[[#This Row],[Club Name]])</f>
        <v>2</v>
      </c>
      <c r="D29" s="3">
        <f>SUMIF('Raceday Breakdown'!C:C,club_summary_data_22_23[[#This Row],[Club Name]],'Raceday Breakdown'!E:E)</f>
        <v>20</v>
      </c>
      <c r="E29" s="3">
        <f>SUMIF('Raceday Breakdown'!C:C,club_summary_data_22_23[[#This Row],[Club Name]],'Raceday Breakdown'!F:F)</f>
        <v>222</v>
      </c>
      <c r="F29" s="28">
        <f>club_summary_data_22_23[[#This Row],[Starters]]/club_summary_data_22_23[[#This Row],[Races]]</f>
        <v>11.1</v>
      </c>
      <c r="G29" s="4">
        <f>SUMIF('Raceday Breakdown'!C:C,club_summary_data_22_23[[#This Row],[Club Name]],'Raceday Breakdown'!AE:AE)/club_summary_data_22_23[[#This Row],[Races]]</f>
        <v>0.35</v>
      </c>
      <c r="H29" s="5">
        <f>SUMIF('Raceday Breakdown'!C:C,club_summary_data_22_23[[#This Row],[Club Name]],'Raceday Breakdown'!I:I)</f>
        <v>261395</v>
      </c>
      <c r="I29" s="5">
        <f>club_summary_data_22_23[[#This Row],[HRNZ Funded Stakes]]/club_summary_data_22_23[[#This Row],[Races]]</f>
        <v>13069.75</v>
      </c>
      <c r="J29" s="4">
        <f>club_summary_data_22_23[[#This Row],[GBR]]/club_summary_data_22_23[[#This Row],[HRNZ Funded Stakes]]</f>
        <v>0.87221821496203034</v>
      </c>
      <c r="K29" s="5">
        <f>SUMIF('Raceday Breakdown'!C:C,club_summary_data_22_23[[#This Row],[Club Name]],'Raceday Breakdown'!AB:AB)</f>
        <v>1331439.3606999989</v>
      </c>
      <c r="L29" s="5">
        <f>SUMIF('Raceday Breakdown'!C:C,club_summary_data_22_23[[#This Row],[Club Name]],'Raceday Breakdown'!AC:AC)</f>
        <v>227993.48029999991</v>
      </c>
      <c r="M29" s="5">
        <f>SUMIF('Raceday Breakdown'!C:C,club_summary_data_22_23[[#This Row],[Club Name]],'Raceday Breakdown'!O:O)</f>
        <v>291943.23</v>
      </c>
      <c r="N29" s="5">
        <f>SUMIF('Raceday Breakdown'!C:C,club_summary_data_22_23[[#This Row],[Club Name]],'Raceday Breakdown'!P:P)</f>
        <v>432147</v>
      </c>
      <c r="O29" s="4">
        <f>club_summary_data_22_23[[#This Row],[GBR]]/club_summary_data_22_23[[#This Row],[Turnover]]</f>
        <v>0.17123835078762675</v>
      </c>
      <c r="P29" s="4">
        <f>club_summary_data_22_23[[#This Row],[GBR]]/club_summary_data_22_23[[#This Row],[Funding]]</f>
        <v>0.78095142093207615</v>
      </c>
      <c r="Q29" s="11">
        <f>club_summary_data_22_23[[#This Row],[Turnover]]/club_summary_data_22_23[[#This Row],[Funding]]</f>
        <v>4.5606105019116185</v>
      </c>
      <c r="R29" s="20">
        <f>club_summary_data_22_23[[#This Row],[Turnover]]/club_summary_data_22_23[[#This Row],[Races]]</f>
        <v>66571.96803499994</v>
      </c>
      <c r="S29" s="9">
        <f>0.03*club_summary_data_22_23[[#This Row],[Export TO (AUD)]]</f>
        <v>12964.41</v>
      </c>
      <c r="T29" s="5">
        <f>club_summary_data_22_23[[#This Row],[GBR]]+club_summary_data_22_23[[#This Row],[Export Earned (AUD)]]</f>
        <v>240957.89029999991</v>
      </c>
    </row>
    <row r="30" spans="1:20" x14ac:dyDescent="0.3">
      <c r="A30" s="3" t="s">
        <v>127</v>
      </c>
      <c r="B30" s="3" t="s">
        <v>118</v>
      </c>
      <c r="C30" s="26">
        <f>COUNTIF('Raceday Breakdown'!C:C,club_summary_data_22_23[[#This Row],[Club Name]])</f>
        <v>2</v>
      </c>
      <c r="D30" s="3">
        <f>SUMIF('Raceday Breakdown'!C:C,club_summary_data_22_23[[#This Row],[Club Name]],'Raceday Breakdown'!E:E)</f>
        <v>22</v>
      </c>
      <c r="E30" s="3">
        <f>SUMIF('Raceday Breakdown'!C:C,club_summary_data_22_23[[#This Row],[Club Name]],'Raceday Breakdown'!F:F)</f>
        <v>241</v>
      </c>
      <c r="F30" s="28">
        <f>club_summary_data_22_23[[#This Row],[Starters]]/club_summary_data_22_23[[#This Row],[Races]]</f>
        <v>10.954545454545455</v>
      </c>
      <c r="G30" s="4">
        <f>SUMIF('Raceday Breakdown'!C:C,club_summary_data_22_23[[#This Row],[Club Name]],'Raceday Breakdown'!AE:AE)/club_summary_data_22_23[[#This Row],[Races]]</f>
        <v>0.22727272727272727</v>
      </c>
      <c r="H30" s="5">
        <f>SUMIF('Raceday Breakdown'!C:C,club_summary_data_22_23[[#This Row],[Club Name]],'Raceday Breakdown'!I:I)</f>
        <v>301662</v>
      </c>
      <c r="I30" s="5">
        <f>club_summary_data_22_23[[#This Row],[HRNZ Funded Stakes]]/club_summary_data_22_23[[#This Row],[Races]]</f>
        <v>13711.90909090909</v>
      </c>
      <c r="J30" s="4">
        <f>club_summary_data_22_23[[#This Row],[GBR]]/club_summary_data_22_23[[#This Row],[HRNZ Funded Stakes]]</f>
        <v>1.2197380366105104</v>
      </c>
      <c r="K30" s="5">
        <f>SUMIF('Raceday Breakdown'!C:C,club_summary_data_22_23[[#This Row],[Club Name]],'Raceday Breakdown'!AB:AB)</f>
        <v>1378375.0963999981</v>
      </c>
      <c r="L30" s="5">
        <f>SUMIF('Raceday Breakdown'!C:C,club_summary_data_22_23[[#This Row],[Club Name]],'Raceday Breakdown'!AC:AC)</f>
        <v>367948.61559999979</v>
      </c>
      <c r="M30" s="5">
        <f>SUMIF('Raceday Breakdown'!C:C,club_summary_data_22_23[[#This Row],[Club Name]],'Raceday Breakdown'!O:O)</f>
        <v>332602.48</v>
      </c>
      <c r="N30" s="5">
        <f>SUMIF('Raceday Breakdown'!C:C,club_summary_data_22_23[[#This Row],[Club Name]],'Raceday Breakdown'!P:P)</f>
        <v>603202.31000000006</v>
      </c>
      <c r="O30" s="4">
        <f>club_summary_data_22_23[[#This Row],[GBR]]/club_summary_data_22_23[[#This Row],[Turnover]]</f>
        <v>0.26694374888301292</v>
      </c>
      <c r="P30" s="4">
        <f>club_summary_data_22_23[[#This Row],[GBR]]/club_summary_data_22_23[[#This Row],[Funding]]</f>
        <v>1.1062714132498346</v>
      </c>
      <c r="Q30" s="11">
        <f>club_summary_data_22_23[[#This Row],[Turnover]]/club_summary_data_22_23[[#This Row],[Funding]]</f>
        <v>4.1442117220532992</v>
      </c>
      <c r="R30" s="20">
        <f>club_summary_data_22_23[[#This Row],[Turnover]]/club_summary_data_22_23[[#This Row],[Races]]</f>
        <v>62653.413472727181</v>
      </c>
      <c r="S30" s="9">
        <f>0.03*club_summary_data_22_23[[#This Row],[Export TO (AUD)]]</f>
        <v>18096.069299999999</v>
      </c>
      <c r="T30" s="5">
        <f>club_summary_data_22_23[[#This Row],[GBR]]+club_summary_data_22_23[[#This Row],[Export Earned (AUD)]]</f>
        <v>386044.68489999976</v>
      </c>
    </row>
    <row r="31" spans="1:20" x14ac:dyDescent="0.3">
      <c r="A31" s="3" t="s">
        <v>127</v>
      </c>
      <c r="B31" s="3" t="s">
        <v>119</v>
      </c>
      <c r="C31" s="26">
        <f>COUNTIF('Raceday Breakdown'!C:C,club_summary_data_22_23[[#This Row],[Club Name]])</f>
        <v>1</v>
      </c>
      <c r="D31" s="3">
        <f>SUMIF('Raceday Breakdown'!C:C,club_summary_data_22_23[[#This Row],[Club Name]],'Raceday Breakdown'!E:E)</f>
        <v>11</v>
      </c>
      <c r="E31" s="3">
        <f>SUMIF('Raceday Breakdown'!C:C,club_summary_data_22_23[[#This Row],[Club Name]],'Raceday Breakdown'!F:F)</f>
        <v>124</v>
      </c>
      <c r="F31" s="28">
        <f>club_summary_data_22_23[[#This Row],[Starters]]/club_summary_data_22_23[[#This Row],[Races]]</f>
        <v>11.272727272727273</v>
      </c>
      <c r="G31" s="4">
        <f>SUMIF('Raceday Breakdown'!C:C,club_summary_data_22_23[[#This Row],[Club Name]],'Raceday Breakdown'!AE:AE)/club_summary_data_22_23[[#This Row],[Races]]</f>
        <v>0.18181818181818182</v>
      </c>
      <c r="H31" s="5">
        <f>SUMIF('Raceday Breakdown'!C:C,club_summary_data_22_23[[#This Row],[Club Name]],'Raceday Breakdown'!I:I)</f>
        <v>141890</v>
      </c>
      <c r="I31" s="5">
        <f>club_summary_data_22_23[[#This Row],[HRNZ Funded Stakes]]/club_summary_data_22_23[[#This Row],[Races]]</f>
        <v>12899.09090909091</v>
      </c>
      <c r="J31" s="4">
        <f>club_summary_data_22_23[[#This Row],[GBR]]/club_summary_data_22_23[[#This Row],[HRNZ Funded Stakes]]</f>
        <v>1.5331347804637396</v>
      </c>
      <c r="K31" s="5">
        <f>SUMIF('Raceday Breakdown'!C:C,club_summary_data_22_23[[#This Row],[Club Name]],'Raceday Breakdown'!AB:AB)</f>
        <v>1136330.5408000001</v>
      </c>
      <c r="L31" s="5">
        <f>SUMIF('Raceday Breakdown'!C:C,club_summary_data_22_23[[#This Row],[Club Name]],'Raceday Breakdown'!AC:AC)</f>
        <v>217536.49400000001</v>
      </c>
      <c r="M31" s="5">
        <f>SUMIF('Raceday Breakdown'!C:C,club_summary_data_22_23[[#This Row],[Club Name]],'Raceday Breakdown'!O:O)</f>
        <v>159321.24</v>
      </c>
      <c r="N31" s="5">
        <f>SUMIF('Raceday Breakdown'!C:C,club_summary_data_22_23[[#This Row],[Club Name]],'Raceday Breakdown'!P:P)</f>
        <v>221862.09</v>
      </c>
      <c r="O31" s="4">
        <f>club_summary_data_22_23[[#This Row],[GBR]]/club_summary_data_22_23[[#This Row],[Turnover]]</f>
        <v>0.19143769016966652</v>
      </c>
      <c r="P31" s="4">
        <f>club_summary_data_22_23[[#This Row],[GBR]]/club_summary_data_22_23[[#This Row],[Funding]]</f>
        <v>1.3653954362895997</v>
      </c>
      <c r="Q31" s="11">
        <f>club_summary_data_22_23[[#This Row],[Turnover]]/club_summary_data_22_23[[#This Row],[Funding]]</f>
        <v>7.1323229771498147</v>
      </c>
      <c r="R31" s="20">
        <f>club_summary_data_22_23[[#This Row],[Turnover]]/club_summary_data_22_23[[#This Row],[Races]]</f>
        <v>103302.77643636364</v>
      </c>
      <c r="S31" s="9">
        <f>0.03*club_summary_data_22_23[[#This Row],[Export TO (AUD)]]</f>
        <v>6655.8626999999997</v>
      </c>
      <c r="T31" s="5">
        <f>club_summary_data_22_23[[#This Row],[GBR]]+club_summary_data_22_23[[#This Row],[Export Earned (AUD)]]</f>
        <v>224192.3567</v>
      </c>
    </row>
    <row r="32" spans="1:20" x14ac:dyDescent="0.3">
      <c r="A32" s="3" t="s">
        <v>127</v>
      </c>
      <c r="B32" s="3" t="s">
        <v>116</v>
      </c>
      <c r="C32" s="26">
        <f>COUNTIF('Raceday Breakdown'!C:C,club_summary_data_22_23[[#This Row],[Club Name]])</f>
        <v>1</v>
      </c>
      <c r="D32" s="3">
        <f>SUMIF('Raceday Breakdown'!C:C,club_summary_data_22_23[[#This Row],[Club Name]],'Raceday Breakdown'!E:E)</f>
        <v>11</v>
      </c>
      <c r="E32" s="3">
        <f>SUMIF('Raceday Breakdown'!C:C,club_summary_data_22_23[[#This Row],[Club Name]],'Raceday Breakdown'!F:F)</f>
        <v>128</v>
      </c>
      <c r="F32" s="28">
        <f>club_summary_data_22_23[[#This Row],[Starters]]/club_summary_data_22_23[[#This Row],[Races]]</f>
        <v>11.636363636363637</v>
      </c>
      <c r="G32" s="4">
        <f>SUMIF('Raceday Breakdown'!C:C,club_summary_data_22_23[[#This Row],[Club Name]],'Raceday Breakdown'!AE:AE)/club_summary_data_22_23[[#This Row],[Races]]</f>
        <v>9.0909090909090912E-2</v>
      </c>
      <c r="H32" s="5">
        <f>SUMIF('Raceday Breakdown'!C:C,club_summary_data_22_23[[#This Row],[Club Name]],'Raceday Breakdown'!I:I)</f>
        <v>148666</v>
      </c>
      <c r="I32" s="5">
        <f>club_summary_data_22_23[[#This Row],[HRNZ Funded Stakes]]/club_summary_data_22_23[[#This Row],[Races]]</f>
        <v>13515.09090909091</v>
      </c>
      <c r="J32" s="4">
        <f>club_summary_data_22_23[[#This Row],[GBR]]/club_summary_data_22_23[[#This Row],[HRNZ Funded Stakes]]</f>
        <v>1.6683013964188174</v>
      </c>
      <c r="K32" s="5">
        <f>SUMIF('Raceday Breakdown'!C:C,club_summary_data_22_23[[#This Row],[Club Name]],'Raceday Breakdown'!AB:AB)</f>
        <v>1128944.147799999</v>
      </c>
      <c r="L32" s="5">
        <f>SUMIF('Raceday Breakdown'!C:C,club_summary_data_22_23[[#This Row],[Club Name]],'Raceday Breakdown'!AC:AC)</f>
        <v>248019.69539999991</v>
      </c>
      <c r="M32" s="5">
        <f>SUMIF('Raceday Breakdown'!C:C,club_summary_data_22_23[[#This Row],[Club Name]],'Raceday Breakdown'!O:O)</f>
        <v>170986.94</v>
      </c>
      <c r="N32" s="5">
        <f>SUMIF('Raceday Breakdown'!C:C,club_summary_data_22_23[[#This Row],[Club Name]],'Raceday Breakdown'!P:P)</f>
        <v>321957.11000000004</v>
      </c>
      <c r="O32" s="4">
        <f>club_summary_data_22_23[[#This Row],[GBR]]/club_summary_data_22_23[[#This Row],[Turnover]]</f>
        <v>0.21969173221130731</v>
      </c>
      <c r="P32" s="4">
        <f>club_summary_data_22_23[[#This Row],[GBR]]/club_summary_data_22_23[[#This Row],[Funding]]</f>
        <v>1.4505183577178462</v>
      </c>
      <c r="Q32" s="11">
        <f>club_summary_data_22_23[[#This Row],[Turnover]]/club_summary_data_22_23[[#This Row],[Funding]]</f>
        <v>6.6025168226298394</v>
      </c>
      <c r="R32" s="20">
        <f>club_summary_data_22_23[[#This Row],[Turnover]]/club_summary_data_22_23[[#This Row],[Races]]</f>
        <v>102631.28616363626</v>
      </c>
      <c r="S32" s="9">
        <f>0.03*club_summary_data_22_23[[#This Row],[Export TO (AUD)]]</f>
        <v>9658.7133000000013</v>
      </c>
      <c r="T32" s="5">
        <f>club_summary_data_22_23[[#This Row],[GBR]]+club_summary_data_22_23[[#This Row],[Export Earned (AUD)]]</f>
        <v>257678.40869999991</v>
      </c>
    </row>
    <row r="33" spans="1:20" x14ac:dyDescent="0.3">
      <c r="A33" s="3" t="s">
        <v>127</v>
      </c>
      <c r="B33" s="3" t="s">
        <v>103</v>
      </c>
      <c r="C33" s="26">
        <f>COUNTIF('Raceday Breakdown'!C:C,club_summary_data_22_23[[#This Row],[Club Name]])</f>
        <v>1</v>
      </c>
      <c r="D33" s="3">
        <f>SUMIF('Raceday Breakdown'!C:C,club_summary_data_22_23[[#This Row],[Club Name]],'Raceday Breakdown'!E:E)</f>
        <v>12</v>
      </c>
      <c r="E33" s="3">
        <f>SUMIF('Raceday Breakdown'!C:C,club_summary_data_22_23[[#This Row],[Club Name]],'Raceday Breakdown'!F:F)</f>
        <v>141</v>
      </c>
      <c r="F33" s="28">
        <f>club_summary_data_22_23[[#This Row],[Starters]]/club_summary_data_22_23[[#This Row],[Races]]</f>
        <v>11.75</v>
      </c>
      <c r="G33" s="4">
        <f>SUMIF('Raceday Breakdown'!C:C,club_summary_data_22_23[[#This Row],[Club Name]],'Raceday Breakdown'!AE:AE)/club_summary_data_22_23[[#This Row],[Races]]</f>
        <v>0</v>
      </c>
      <c r="H33" s="5">
        <f>SUMIF('Raceday Breakdown'!C:C,club_summary_data_22_23[[#This Row],[Club Name]],'Raceday Breakdown'!I:I)</f>
        <v>168688</v>
      </c>
      <c r="I33" s="5">
        <f>club_summary_data_22_23[[#This Row],[HRNZ Funded Stakes]]/club_summary_data_22_23[[#This Row],[Races]]</f>
        <v>14057.333333333334</v>
      </c>
      <c r="J33" s="4">
        <f>club_summary_data_22_23[[#This Row],[GBR]]/club_summary_data_22_23[[#This Row],[HRNZ Funded Stakes]]</f>
        <v>1.3712495758441614</v>
      </c>
      <c r="K33" s="5">
        <f>SUMIF('Raceday Breakdown'!C:C,club_summary_data_22_23[[#This Row],[Club Name]],'Raceday Breakdown'!AB:AB)</f>
        <v>947015.841599999</v>
      </c>
      <c r="L33" s="5">
        <f>SUMIF('Raceday Breakdown'!C:C,club_summary_data_22_23[[#This Row],[Club Name]],'Raceday Breakdown'!AC:AC)</f>
        <v>231313.3484499999</v>
      </c>
      <c r="M33" s="5">
        <f>SUMIF('Raceday Breakdown'!C:C,club_summary_data_22_23[[#This Row],[Club Name]],'Raceday Breakdown'!O:O)</f>
        <v>206424.74</v>
      </c>
      <c r="N33" s="5">
        <f>SUMIF('Raceday Breakdown'!C:C,club_summary_data_22_23[[#This Row],[Club Name]],'Raceday Breakdown'!P:P)</f>
        <v>254206</v>
      </c>
      <c r="O33" s="4">
        <f>club_summary_data_22_23[[#This Row],[GBR]]/club_summary_data_22_23[[#This Row],[Turnover]]</f>
        <v>0.24425499372765735</v>
      </c>
      <c r="P33" s="4">
        <f>club_summary_data_22_23[[#This Row],[GBR]]/club_summary_data_22_23[[#This Row],[Funding]]</f>
        <v>1.1205698912349358</v>
      </c>
      <c r="Q33" s="11">
        <f>club_summary_data_22_23[[#This Row],[Turnover]]/club_summary_data_22_23[[#This Row],[Funding]]</f>
        <v>4.5877051442574137</v>
      </c>
      <c r="R33" s="20">
        <f>club_summary_data_22_23[[#This Row],[Turnover]]/club_summary_data_22_23[[#This Row],[Races]]</f>
        <v>78917.986799999911</v>
      </c>
      <c r="S33" s="9">
        <f>0.03*club_summary_data_22_23[[#This Row],[Export TO (AUD)]]</f>
        <v>7626.1799999999994</v>
      </c>
      <c r="T33" s="5">
        <f>club_summary_data_22_23[[#This Row],[GBR]]+club_summary_data_22_23[[#This Row],[Export Earned (AUD)]]</f>
        <v>238939.5284499999</v>
      </c>
    </row>
    <row r="34" spans="1:20" x14ac:dyDescent="0.3">
      <c r="A34" s="3" t="s">
        <v>127</v>
      </c>
      <c r="B34" s="3" t="s">
        <v>91</v>
      </c>
      <c r="C34" s="26">
        <f>COUNTIF('Raceday Breakdown'!C:C,club_summary_data_22_23[[#This Row],[Club Name]])</f>
        <v>6</v>
      </c>
      <c r="D34" s="3">
        <f>SUMIF('Raceday Breakdown'!C:C,club_summary_data_22_23[[#This Row],[Club Name]],'Raceday Breakdown'!E:E)</f>
        <v>66</v>
      </c>
      <c r="E34" s="3">
        <f>SUMIF('Raceday Breakdown'!C:C,club_summary_data_22_23[[#This Row],[Club Name]],'Raceday Breakdown'!F:F)</f>
        <v>816</v>
      </c>
      <c r="F34" s="28">
        <f>club_summary_data_22_23[[#This Row],[Starters]]/club_summary_data_22_23[[#This Row],[Races]]</f>
        <v>12.363636363636363</v>
      </c>
      <c r="G34" s="4">
        <f>SUMIF('Raceday Breakdown'!C:C,club_summary_data_22_23[[#This Row],[Club Name]],'Raceday Breakdown'!AE:AE)/club_summary_data_22_23[[#This Row],[Races]]</f>
        <v>0.13636363636363635</v>
      </c>
      <c r="H34" s="5">
        <f>SUMIF('Raceday Breakdown'!C:C,club_summary_data_22_23[[#This Row],[Club Name]],'Raceday Breakdown'!I:I)</f>
        <v>874693</v>
      </c>
      <c r="I34" s="5">
        <f>club_summary_data_22_23[[#This Row],[HRNZ Funded Stakes]]/club_summary_data_22_23[[#This Row],[Races]]</f>
        <v>13252.924242424242</v>
      </c>
      <c r="J34" s="4">
        <f>club_summary_data_22_23[[#This Row],[GBR]]/club_summary_data_22_23[[#This Row],[HRNZ Funded Stakes]]</f>
        <v>1.962864687610391</v>
      </c>
      <c r="K34" s="5">
        <f>SUMIF('Raceday Breakdown'!C:C,club_summary_data_22_23[[#This Row],[Club Name]],'Raceday Breakdown'!AB:AB)</f>
        <v>6982730.9565999946</v>
      </c>
      <c r="L34" s="5">
        <f>SUMIF('Raceday Breakdown'!C:C,club_summary_data_22_23[[#This Row],[Club Name]],'Raceday Breakdown'!AC:AC)</f>
        <v>1716904.0021999958</v>
      </c>
      <c r="M34" s="5">
        <f>SUMIF('Raceday Breakdown'!C:C,club_summary_data_22_23[[#This Row],[Club Name]],'Raceday Breakdown'!O:O)</f>
        <v>1040963.9</v>
      </c>
      <c r="N34" s="5">
        <f>SUMIF('Raceday Breakdown'!C:C,club_summary_data_22_23[[#This Row],[Club Name]],'Raceday Breakdown'!P:P)</f>
        <v>1722180.18</v>
      </c>
      <c r="O34" s="4">
        <f>club_summary_data_22_23[[#This Row],[GBR]]/club_summary_data_22_23[[#This Row],[Turnover]]</f>
        <v>0.24587858430621595</v>
      </c>
      <c r="P34" s="4">
        <f>club_summary_data_22_23[[#This Row],[GBR]]/club_summary_data_22_23[[#This Row],[Funding]]</f>
        <v>1.6493405796300868</v>
      </c>
      <c r="Q34" s="11">
        <f>club_summary_data_22_23[[#This Row],[Turnover]]/club_summary_data_22_23[[#This Row],[Funding]]</f>
        <v>6.7079472752129004</v>
      </c>
      <c r="R34" s="20">
        <f>club_summary_data_22_23[[#This Row],[Turnover]]/club_summary_data_22_23[[#This Row],[Races]]</f>
        <v>105798.9538878787</v>
      </c>
      <c r="S34" s="9">
        <f>0.03*club_summary_data_22_23[[#This Row],[Export TO (AUD)]]</f>
        <v>51665.405399999996</v>
      </c>
      <c r="T34" s="5">
        <f>club_summary_data_22_23[[#This Row],[GBR]]+club_summary_data_22_23[[#This Row],[Export Earned (AUD)]]</f>
        <v>1768569.4075999958</v>
      </c>
    </row>
    <row r="35" spans="1:20" x14ac:dyDescent="0.3">
      <c r="A35" s="3" t="s">
        <v>127</v>
      </c>
      <c r="B35" s="3" t="s">
        <v>112</v>
      </c>
      <c r="C35" s="26">
        <f>COUNTIF('Raceday Breakdown'!C:C,club_summary_data_22_23[[#This Row],[Club Name]])</f>
        <v>2</v>
      </c>
      <c r="D35" s="3">
        <f>SUMIF('Raceday Breakdown'!C:C,club_summary_data_22_23[[#This Row],[Club Name]],'Raceday Breakdown'!E:E)</f>
        <v>24</v>
      </c>
      <c r="E35" s="3">
        <f>SUMIF('Raceday Breakdown'!C:C,club_summary_data_22_23[[#This Row],[Club Name]],'Raceday Breakdown'!F:F)</f>
        <v>301</v>
      </c>
      <c r="F35" s="28">
        <f>club_summary_data_22_23[[#This Row],[Starters]]/club_summary_data_22_23[[#This Row],[Races]]</f>
        <v>12.541666666666666</v>
      </c>
      <c r="G35" s="4">
        <f>SUMIF('Raceday Breakdown'!C:C,club_summary_data_22_23[[#This Row],[Club Name]],'Raceday Breakdown'!AE:AE)/club_summary_data_22_23[[#This Row],[Races]]</f>
        <v>0.25</v>
      </c>
      <c r="H35" s="5">
        <f>SUMIF('Raceday Breakdown'!C:C,club_summary_data_22_23[[#This Row],[Club Name]],'Raceday Breakdown'!I:I)</f>
        <v>332031</v>
      </c>
      <c r="I35" s="5">
        <f>club_summary_data_22_23[[#This Row],[HRNZ Funded Stakes]]/club_summary_data_22_23[[#This Row],[Races]]</f>
        <v>13834.625</v>
      </c>
      <c r="J35" s="4">
        <f>club_summary_data_22_23[[#This Row],[GBR]]/club_summary_data_22_23[[#This Row],[HRNZ Funded Stakes]]</f>
        <v>1.8045235592459741</v>
      </c>
      <c r="K35" s="5">
        <f>SUMIF('Raceday Breakdown'!C:C,club_summary_data_22_23[[#This Row],[Club Name]],'Raceday Breakdown'!AB:AB)</f>
        <v>2700699.5603999998</v>
      </c>
      <c r="L35" s="5">
        <f>SUMIF('Raceday Breakdown'!C:C,club_summary_data_22_23[[#This Row],[Club Name]],'Raceday Breakdown'!AC:AC)</f>
        <v>599157.76190000004</v>
      </c>
      <c r="M35" s="5">
        <f>SUMIF('Raceday Breakdown'!C:C,club_summary_data_22_23[[#This Row],[Club Name]],'Raceday Breakdown'!O:O)</f>
        <v>401392.5</v>
      </c>
      <c r="N35" s="5">
        <f>SUMIF('Raceday Breakdown'!C:C,club_summary_data_22_23[[#This Row],[Club Name]],'Raceday Breakdown'!P:P)</f>
        <v>589522</v>
      </c>
      <c r="O35" s="4">
        <f>club_summary_data_22_23[[#This Row],[GBR]]/club_summary_data_22_23[[#This Row],[Turnover]]</f>
        <v>0.22185280091327855</v>
      </c>
      <c r="P35" s="4">
        <f>club_summary_data_22_23[[#This Row],[GBR]]/club_summary_data_22_23[[#This Row],[Funding]]</f>
        <v>1.4926979500115225</v>
      </c>
      <c r="Q35" s="11">
        <f>club_summary_data_22_23[[#This Row],[Turnover]]/club_summary_data_22_23[[#This Row],[Funding]]</f>
        <v>6.7283259164035201</v>
      </c>
      <c r="R35" s="20">
        <f>club_summary_data_22_23[[#This Row],[Turnover]]/club_summary_data_22_23[[#This Row],[Races]]</f>
        <v>112529.14834999999</v>
      </c>
      <c r="S35" s="9">
        <f>0.03*club_summary_data_22_23[[#This Row],[Export TO (AUD)]]</f>
        <v>17685.66</v>
      </c>
      <c r="T35" s="5">
        <f>club_summary_data_22_23[[#This Row],[GBR]]+club_summary_data_22_23[[#This Row],[Export Earned (AUD)]]</f>
        <v>616843.42190000007</v>
      </c>
    </row>
    <row r="36" spans="1:20" x14ac:dyDescent="0.3">
      <c r="A36" s="3" t="s">
        <v>127</v>
      </c>
      <c r="B36" s="3" t="s">
        <v>94</v>
      </c>
      <c r="C36" s="26">
        <f>COUNTIF('Raceday Breakdown'!C:C,club_summary_data_22_23[[#This Row],[Club Name]])</f>
        <v>6</v>
      </c>
      <c r="D36" s="3">
        <f>SUMIF('Raceday Breakdown'!C:C,club_summary_data_22_23[[#This Row],[Club Name]],'Raceday Breakdown'!E:E)</f>
        <v>69</v>
      </c>
      <c r="E36" s="3">
        <f>SUMIF('Raceday Breakdown'!C:C,club_summary_data_22_23[[#This Row],[Club Name]],'Raceday Breakdown'!F:F)</f>
        <v>867</v>
      </c>
      <c r="F36" s="28">
        <f>club_summary_data_22_23[[#This Row],[Starters]]/club_summary_data_22_23[[#This Row],[Races]]</f>
        <v>12.565217391304348</v>
      </c>
      <c r="G36" s="4">
        <f>SUMIF('Raceday Breakdown'!C:C,club_summary_data_22_23[[#This Row],[Club Name]],'Raceday Breakdown'!AE:AE)/club_summary_data_22_23[[#This Row],[Races]]</f>
        <v>0.20289855072463769</v>
      </c>
      <c r="H36" s="5">
        <f>SUMIF('Raceday Breakdown'!C:C,club_summary_data_22_23[[#This Row],[Club Name]],'Raceday Breakdown'!I:I)</f>
        <v>852296</v>
      </c>
      <c r="I36" s="5">
        <f>club_summary_data_22_23[[#This Row],[HRNZ Funded Stakes]]/club_summary_data_22_23[[#This Row],[Races]]</f>
        <v>12352.115942028986</v>
      </c>
      <c r="J36" s="4">
        <f>club_summary_data_22_23[[#This Row],[GBR]]/club_summary_data_22_23[[#This Row],[HRNZ Funded Stakes]]</f>
        <v>1.5459587849761081</v>
      </c>
      <c r="K36" s="5">
        <f>SUMIF('Raceday Breakdown'!C:C,club_summary_data_22_23[[#This Row],[Club Name]],'Raceday Breakdown'!AB:AB)</f>
        <v>6812230.9500999954</v>
      </c>
      <c r="L36" s="5">
        <f>SUMIF('Raceday Breakdown'!C:C,club_summary_data_22_23[[#This Row],[Club Name]],'Raceday Breakdown'!AC:AC)</f>
        <v>1317614.488599997</v>
      </c>
      <c r="M36" s="5">
        <f>SUMIF('Raceday Breakdown'!C:C,club_summary_data_22_23[[#This Row],[Club Name]],'Raceday Breakdown'!O:O)</f>
        <v>1120353.24</v>
      </c>
      <c r="N36" s="5">
        <f>SUMIF('Raceday Breakdown'!C:C,club_summary_data_22_23[[#This Row],[Club Name]],'Raceday Breakdown'!P:P)</f>
        <v>1477364.8199999998</v>
      </c>
      <c r="O36" s="4">
        <f>club_summary_data_22_23[[#This Row],[GBR]]/club_summary_data_22_23[[#This Row],[Turnover]]</f>
        <v>0.19341893988204495</v>
      </c>
      <c r="P36" s="4">
        <f>club_summary_data_22_23[[#This Row],[GBR]]/club_summary_data_22_23[[#This Row],[Funding]]</f>
        <v>1.1760705834170633</v>
      </c>
      <c r="Q36" s="11">
        <f>club_summary_data_22_23[[#This Row],[Turnover]]/club_summary_data_22_23[[#This Row],[Funding]]</f>
        <v>6.0804313379769361</v>
      </c>
      <c r="R36" s="20">
        <f>club_summary_data_22_23[[#This Row],[Turnover]]/club_summary_data_22_23[[#This Row],[Races]]</f>
        <v>98727.984784057902</v>
      </c>
      <c r="S36" s="9">
        <f>0.03*club_summary_data_22_23[[#This Row],[Export TO (AUD)]]</f>
        <v>44320.944599999995</v>
      </c>
      <c r="T36" s="5">
        <f>club_summary_data_22_23[[#This Row],[GBR]]+club_summary_data_22_23[[#This Row],[Export Earned (AUD)]]</f>
        <v>1361935.4331999971</v>
      </c>
    </row>
    <row r="37" spans="1:20" x14ac:dyDescent="0.3">
      <c r="A37" s="3" t="s">
        <v>127</v>
      </c>
      <c r="B37" s="3" t="s">
        <v>102</v>
      </c>
      <c r="C37" s="26">
        <f>COUNTIF('Raceday Breakdown'!C:C,club_summary_data_22_23[[#This Row],[Club Name]])</f>
        <v>1</v>
      </c>
      <c r="D37" s="3">
        <f>SUMIF('Raceday Breakdown'!C:C,club_summary_data_22_23[[#This Row],[Club Name]],'Raceday Breakdown'!E:E)</f>
        <v>11</v>
      </c>
      <c r="E37" s="3">
        <f>SUMIF('Raceday Breakdown'!C:C,club_summary_data_22_23[[#This Row],[Club Name]],'Raceday Breakdown'!F:F)</f>
        <v>148</v>
      </c>
      <c r="F37" s="28">
        <f>club_summary_data_22_23[[#This Row],[Starters]]/club_summary_data_22_23[[#This Row],[Races]]</f>
        <v>13.454545454545455</v>
      </c>
      <c r="G37" s="4">
        <f>SUMIF('Raceday Breakdown'!C:C,club_summary_data_22_23[[#This Row],[Club Name]],'Raceday Breakdown'!AE:AE)/club_summary_data_22_23[[#This Row],[Races]]</f>
        <v>9.0909090909090912E-2</v>
      </c>
      <c r="H37" s="5">
        <f>SUMIF('Raceday Breakdown'!C:C,club_summary_data_22_23[[#This Row],[Club Name]],'Raceday Breakdown'!I:I)</f>
        <v>138489</v>
      </c>
      <c r="I37" s="5">
        <f>club_summary_data_22_23[[#This Row],[HRNZ Funded Stakes]]/club_summary_data_22_23[[#This Row],[Races]]</f>
        <v>12589.90909090909</v>
      </c>
      <c r="J37" s="4">
        <f>club_summary_data_22_23[[#This Row],[GBR]]/club_summary_data_22_23[[#This Row],[HRNZ Funded Stakes]]</f>
        <v>0.90583256323606853</v>
      </c>
      <c r="K37" s="5">
        <f>SUMIF('Raceday Breakdown'!C:C,club_summary_data_22_23[[#This Row],[Club Name]],'Raceday Breakdown'!AB:AB)</f>
        <v>839988.05539999902</v>
      </c>
      <c r="L37" s="5">
        <f>SUMIF('Raceday Breakdown'!C:C,club_summary_data_22_23[[#This Row],[Club Name]],'Raceday Breakdown'!AC:AC)</f>
        <v>125447.8458499999</v>
      </c>
      <c r="M37" s="5">
        <f>SUMIF('Raceday Breakdown'!C:C,club_summary_data_22_23[[#This Row],[Club Name]],'Raceday Breakdown'!O:O)</f>
        <v>168986.23999999999</v>
      </c>
      <c r="N37" s="5">
        <f>SUMIF('Raceday Breakdown'!C:C,club_summary_data_22_23[[#This Row],[Club Name]],'Raceday Breakdown'!P:P)</f>
        <v>316108</v>
      </c>
      <c r="O37" s="4">
        <f>club_summary_data_22_23[[#This Row],[GBR]]/club_summary_data_22_23[[#This Row],[Turnover]]</f>
        <v>0.14934479727841143</v>
      </c>
      <c r="P37" s="4">
        <f>club_summary_data_22_23[[#This Row],[GBR]]/club_summary_data_22_23[[#This Row],[Funding]]</f>
        <v>0.74235538852157368</v>
      </c>
      <c r="Q37" s="11">
        <f>club_summary_data_22_23[[#This Row],[Turnover]]/club_summary_data_22_23[[#This Row],[Funding]]</f>
        <v>4.9707482419870344</v>
      </c>
      <c r="R37" s="20">
        <f>club_summary_data_22_23[[#This Row],[Turnover]]/club_summary_data_22_23[[#This Row],[Races]]</f>
        <v>76362.550490909009</v>
      </c>
      <c r="S37" s="9">
        <f>0.03*club_summary_data_22_23[[#This Row],[Export TO (AUD)]]</f>
        <v>9483.24</v>
      </c>
      <c r="T37" s="5">
        <f>club_summary_data_22_23[[#This Row],[GBR]]+club_summary_data_22_23[[#This Row],[Export Earned (AUD)]]</f>
        <v>134931.08584999989</v>
      </c>
    </row>
    <row r="40" spans="1:20" x14ac:dyDescent="0.3">
      <c r="L40" s="4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46"/>
  <sheetViews>
    <sheetView showGridLines="0" workbookViewId="0">
      <pane ySplit="1" topLeftCell="A2" activePane="bottomLeft" state="frozen"/>
      <selection pane="bottomLeft" activeCell="E2" sqref="E2"/>
    </sheetView>
  </sheetViews>
  <sheetFormatPr defaultColWidth="9.109375" defaultRowHeight="14.4" x14ac:dyDescent="0.3"/>
  <cols>
    <col min="1" max="1" width="15.33203125" style="3" bestFit="1" customWidth="1"/>
    <col min="2" max="2" width="13.6640625" style="3" bestFit="1" customWidth="1"/>
    <col min="3" max="3" width="8" style="3" bestFit="1" customWidth="1"/>
    <col min="4" max="4" width="9.6640625" style="3" bestFit="1" customWidth="1"/>
    <col min="5" max="5" width="10.5546875" style="3" bestFit="1" customWidth="1"/>
    <col min="6" max="6" width="12.33203125" style="3" bestFit="1" customWidth="1"/>
    <col min="7" max="7" width="14.6640625" style="3" bestFit="1" customWidth="1"/>
    <col min="8" max="8" width="11.44140625" style="3" bestFit="1" customWidth="1"/>
    <col min="9" max="9" width="13.6640625" style="3" bestFit="1" customWidth="1"/>
    <col min="10" max="10" width="13.109375" style="3" bestFit="1" customWidth="1"/>
    <col min="11" max="11" width="13.5546875" style="3" customWidth="1"/>
    <col min="12" max="13" width="10.88671875" style="3" bestFit="1" customWidth="1"/>
    <col min="14" max="14" width="11.44140625" style="3" bestFit="1" customWidth="1"/>
    <col min="15" max="15" width="11.33203125" style="3" bestFit="1" customWidth="1"/>
    <col min="16" max="16" width="15.88671875" style="3" bestFit="1" customWidth="1"/>
    <col min="17" max="17" width="20.33203125" style="3" bestFit="1" customWidth="1"/>
    <col min="18" max="18" width="15" style="3" bestFit="1" customWidth="1"/>
    <col min="19" max="19" width="15.44140625" style="3" bestFit="1" customWidth="1"/>
    <col min="20" max="16384" width="9.109375" style="3"/>
  </cols>
  <sheetData>
    <row r="1" spans="1:19" ht="28.8" x14ac:dyDescent="0.3">
      <c r="A1" s="77" t="s">
        <v>122</v>
      </c>
      <c r="B1" s="89" t="s">
        <v>48</v>
      </c>
      <c r="C1" s="81" t="s">
        <v>49</v>
      </c>
      <c r="D1" s="91" t="s">
        <v>50</v>
      </c>
      <c r="E1" s="81" t="s">
        <v>128</v>
      </c>
      <c r="F1" s="93" t="s">
        <v>52</v>
      </c>
      <c r="G1" s="82" t="s">
        <v>53</v>
      </c>
      <c r="H1" s="93" t="s">
        <v>129</v>
      </c>
      <c r="I1" s="81" t="s">
        <v>55</v>
      </c>
      <c r="J1" s="91" t="s">
        <v>16</v>
      </c>
      <c r="K1" s="81" t="s">
        <v>56</v>
      </c>
      <c r="L1" s="91" t="s">
        <v>57</v>
      </c>
      <c r="M1" s="81" t="s">
        <v>12</v>
      </c>
      <c r="N1" s="93" t="s">
        <v>58</v>
      </c>
      <c r="O1" s="81" t="s">
        <v>59</v>
      </c>
      <c r="P1" s="91" t="s">
        <v>60</v>
      </c>
      <c r="Q1" s="81" t="s">
        <v>61</v>
      </c>
      <c r="R1" s="93" t="s">
        <v>29</v>
      </c>
      <c r="S1" s="99" t="s">
        <v>126</v>
      </c>
    </row>
    <row r="2" spans="1:19" x14ac:dyDescent="0.3">
      <c r="A2" s="3" t="s">
        <v>127</v>
      </c>
      <c r="B2" s="51" t="s">
        <v>79</v>
      </c>
      <c r="C2" s="23">
        <f>SUMIF('Raceday Breakdown'!D:D, nz_grouping_summary_data_22_23[[#This Row],[NZ Grouping]], 'Raceday Breakdown'!E:E)</f>
        <v>759</v>
      </c>
      <c r="D2" s="55">
        <f>SUMIF('Raceday Breakdown'!D:D, nz_grouping_summary_data_22_23[[#This Row],[NZ Grouping]], 'Raceday Breakdown'!F:F)</f>
        <v>6329</v>
      </c>
      <c r="E2" s="54">
        <f>nz_grouping_summary_data_22_23[[#This Row],[Starters]]/nz_grouping_summary_data_22_23[[#This Row],[Races]]</f>
        <v>8.3386034255599473</v>
      </c>
      <c r="F2" s="94">
        <f>SUMIF('Raceday Breakdown'!D:D,nz_grouping_summary_data_22_23[[#This Row],[NZ Grouping]],'Raceday Breakdown'!AE:AE)/nz_grouping_summary_data_22_23[[#This Row],[Races]]</f>
        <v>0.35441370223978919</v>
      </c>
      <c r="G2" s="25">
        <f>SUMIF('Raceday Breakdown'!D:D, nz_grouping_summary_data_22_23[[#This Row],[NZ Grouping]], 'Raceday Breakdown'!I:I)</f>
        <v>13891967</v>
      </c>
      <c r="H2" s="56">
        <f>nz_grouping_summary_data_22_23[[#This Row],[HRNZ Funded Stakes]]/nz_grouping_summary_data_22_23[[#This Row],[Races]]</f>
        <v>18302.986824769432</v>
      </c>
      <c r="I2" s="24">
        <v>0.65100000000000002</v>
      </c>
      <c r="J2" s="94">
        <v>0.13100000000000001</v>
      </c>
      <c r="K2" s="25">
        <f>SUMIF('Raceday Breakdown'!D:D, nz_grouping_summary_data_22_23[[#This Row],[NZ Grouping]], 'Raceday Breakdown'!AB:AB)</f>
        <v>48444665.631199948</v>
      </c>
      <c r="L2" s="56">
        <f>SUMIF('Raceday Breakdown'!D:D, nz_grouping_summary_data_22_23[[#This Row],[NZ Grouping]], 'Raceday Breakdown'!AC:AC)</f>
        <v>9069649.1232999954</v>
      </c>
      <c r="M2" s="25">
        <f>SUMIF('Raceday Breakdown'!D:D, nz_grouping_summary_data_22_23[[#This Row],[NZ Grouping]], 'Raceday Breakdown'!O:O)</f>
        <v>15325465.480000019</v>
      </c>
      <c r="N2" s="56">
        <f>SUMIF('Raceday Breakdown'!D:D, nz_grouping_summary_data_22_23[[#This Row],[NZ Grouping]], 'Raceday Breakdown'!P:P)</f>
        <v>19960828.440000005</v>
      </c>
      <c r="O2" s="24">
        <f>nz_grouping_summary_data_22_23[[#This Row],[GBR]]/nz_grouping_summary_data_22_23[[#This Row],[Turnover]]</f>
        <v>0.18721667298409106</v>
      </c>
      <c r="P2" s="94">
        <f>nz_grouping_summary_data_22_23[[#This Row],[GBR]]/nz_grouping_summary_data_22_23[[#This Row],[Funding]]</f>
        <v>0.59180252209213713</v>
      </c>
      <c r="Q2" s="24">
        <f>nz_grouping_summary_data_22_23[[#This Row],[Turnover]]/nz_grouping_summary_data_22_23[[#This Row],[Funding]]</f>
        <v>3.1610567192507806</v>
      </c>
      <c r="R2" s="97">
        <f>0.03*nz_grouping_summary_data_22_23[[#This Row],[Export TO (AUD)]]</f>
        <v>598824.85320000013</v>
      </c>
      <c r="S2" s="97">
        <f>nz_grouping_summary_data_22_23[[#This Row],[GBR]]+nz_grouping_summary_data_22_23[[#This Row],[Export Earned (AUD)]]</f>
        <v>9668473.9764999952</v>
      </c>
    </row>
    <row r="3" spans="1:19" x14ac:dyDescent="0.3">
      <c r="A3" s="3" t="s">
        <v>127</v>
      </c>
      <c r="B3" s="51" t="s">
        <v>81</v>
      </c>
      <c r="C3" s="23">
        <f>SUMIF('Raceday Breakdown'!D:D, nz_grouping_summary_data_22_23[[#This Row],[NZ Grouping]], 'Raceday Breakdown'!E:E)</f>
        <v>1078</v>
      </c>
      <c r="D3" s="55">
        <f>SUMIF('Raceday Breakdown'!D:D, nz_grouping_summary_data_22_23[[#This Row],[NZ Grouping]], 'Raceday Breakdown'!F:F)</f>
        <v>11519</v>
      </c>
      <c r="E3" s="54">
        <f>nz_grouping_summary_data_22_23[[#This Row],[Starters]]/nz_grouping_summary_data_22_23[[#This Row],[Races]]</f>
        <v>10.685528756957329</v>
      </c>
      <c r="F3" s="94">
        <f>SUMIF('Raceday Breakdown'!D:D,nz_grouping_summary_data_22_23[[#This Row],[NZ Grouping]],'Raceday Breakdown'!AE:AE)/nz_grouping_summary_data_22_23[[#This Row],[Races]]</f>
        <v>0.34786641929499074</v>
      </c>
      <c r="G3" s="25">
        <f>SUMIF('Raceday Breakdown'!D:D, nz_grouping_summary_data_22_23[[#This Row],[NZ Grouping]], 'Raceday Breakdown'!I:I)</f>
        <v>22192572</v>
      </c>
      <c r="H3" s="56">
        <f>nz_grouping_summary_data_22_23[[#This Row],[HRNZ Funded Stakes]]/nz_grouping_summary_data_22_23[[#This Row],[Races]]</f>
        <v>20586.801484230054</v>
      </c>
      <c r="I3" s="24">
        <v>0.85599999999999998</v>
      </c>
      <c r="J3" s="94">
        <v>0.154</v>
      </c>
      <c r="K3" s="25">
        <f>SUMIF('Raceday Breakdown'!D:D, nz_grouping_summary_data_22_23[[#This Row],[NZ Grouping]], 'Raceday Breakdown'!AB:AB)</f>
        <v>107896382.89729998</v>
      </c>
      <c r="L3" s="56">
        <f>SUMIF('Raceday Breakdown'!D:D, nz_grouping_summary_data_22_23[[#This Row],[NZ Grouping]], 'Raceday Breakdown'!AC:AC)</f>
        <v>19403563.756249979</v>
      </c>
      <c r="M3" s="25">
        <f>SUMIF('Raceday Breakdown'!D:D, nz_grouping_summary_data_22_23[[#This Row],[NZ Grouping]], 'Raceday Breakdown'!O:O)</f>
        <v>23909689.900000021</v>
      </c>
      <c r="N3" s="56">
        <f>SUMIF('Raceday Breakdown'!D:D, nz_grouping_summary_data_22_23[[#This Row],[NZ Grouping]], 'Raceday Breakdown'!P:P)</f>
        <v>29208792.41</v>
      </c>
      <c r="O3" s="24">
        <f>nz_grouping_summary_data_22_23[[#This Row],[GBR]]/nz_grouping_summary_data_22_23[[#This Row],[Turnover]]</f>
        <v>0.17983516439767083</v>
      </c>
      <c r="P3" s="94">
        <f>nz_grouping_summary_data_22_23[[#This Row],[GBR]]/nz_grouping_summary_data_22_23[[#This Row],[Funding]]</f>
        <v>0.81153556727015363</v>
      </c>
      <c r="Q3" s="24">
        <f>nz_grouping_summary_data_22_23[[#This Row],[Turnover]]/nz_grouping_summary_data_22_23[[#This Row],[Funding]]</f>
        <v>4.5126634159023489</v>
      </c>
      <c r="R3" s="97">
        <f>0.03*nz_grouping_summary_data_22_23[[#This Row],[Export TO (AUD)]]</f>
        <v>876263.77229999995</v>
      </c>
      <c r="S3" s="97">
        <f>nz_grouping_summary_data_22_23[[#This Row],[GBR]]+nz_grouping_summary_data_22_23[[#This Row],[Export Earned (AUD)]]</f>
        <v>20279827.52854998</v>
      </c>
    </row>
    <row r="4" spans="1:19" x14ac:dyDescent="0.3">
      <c r="A4" s="3" t="s">
        <v>127</v>
      </c>
      <c r="B4" s="90" t="s">
        <v>76</v>
      </c>
      <c r="C4" s="23">
        <f>SUMIF('Raceday Breakdown'!D:D, nz_grouping_summary_data_22_23[[#This Row],[NZ Grouping]], 'Raceday Breakdown'!E:E)</f>
        <v>533</v>
      </c>
      <c r="D4" s="92">
        <f>SUMIF('Raceday Breakdown'!D:D, nz_grouping_summary_data_22_23[[#This Row],[NZ Grouping]], 'Raceday Breakdown'!F:F)</f>
        <v>5164</v>
      </c>
      <c r="E4" s="54">
        <f>nz_grouping_summary_data_22_23[[#This Row],[Starters]]/nz_grouping_summary_data_22_23[[#This Row],[Races]]</f>
        <v>9.688555347091933</v>
      </c>
      <c r="F4" s="95">
        <f>SUMIF('Raceday Breakdown'!D:D,nz_grouping_summary_data_22_23[[#This Row],[NZ Grouping]],'Raceday Breakdown'!AE:AE)/nz_grouping_summary_data_22_23[[#This Row],[Races]]</f>
        <v>0.35459662288930582</v>
      </c>
      <c r="G4" s="25">
        <f>SUMIF('Raceday Breakdown'!D:D, nz_grouping_summary_data_22_23[[#This Row],[NZ Grouping]], 'Raceday Breakdown'!I:I)</f>
        <v>7321160</v>
      </c>
      <c r="H4" s="96">
        <f>nz_grouping_summary_data_22_23[[#This Row],[HRNZ Funded Stakes]]/nz_grouping_summary_data_22_23[[#This Row],[Races]]</f>
        <v>13735.759849906191</v>
      </c>
      <c r="I4" s="24">
        <v>1.0469999999999999</v>
      </c>
      <c r="J4" s="95">
        <v>0.126</v>
      </c>
      <c r="K4" s="25">
        <f>SUMIF('Raceday Breakdown'!D:D, nz_grouping_summary_data_22_23[[#This Row],[NZ Grouping]], 'Raceday Breakdown'!AB:AB)</f>
        <v>38164978.805799969</v>
      </c>
      <c r="L4" s="96">
        <f>SUMIF('Raceday Breakdown'!D:D, nz_grouping_summary_data_22_23[[#This Row],[NZ Grouping]], 'Raceday Breakdown'!AC:AC)</f>
        <v>7310634.706999993</v>
      </c>
      <c r="M4" s="25">
        <f>SUMIF('Raceday Breakdown'!D:D, nz_grouping_summary_data_22_23[[#This Row],[NZ Grouping]], 'Raceday Breakdown'!O:O)</f>
        <v>8386595.110000005</v>
      </c>
      <c r="N4" s="96">
        <f>SUMIF('Raceday Breakdown'!D:D, nz_grouping_summary_data_22_23[[#This Row],[NZ Grouping]], 'Raceday Breakdown'!P:P)</f>
        <v>13330052.069999998</v>
      </c>
      <c r="O4" s="24">
        <f>nz_grouping_summary_data_22_23[[#This Row],[GBR]]/nz_grouping_summary_data_22_23[[#This Row],[Turnover]]</f>
        <v>0.19155348530912819</v>
      </c>
      <c r="P4" s="95">
        <f>nz_grouping_summary_data_22_23[[#This Row],[GBR]]/nz_grouping_summary_data_22_23[[#This Row],[Funding]]</f>
        <v>0.87170473966043038</v>
      </c>
      <c r="Q4" s="24">
        <f>nz_grouping_summary_data_22_23[[#This Row],[Turnover]]/nz_grouping_summary_data_22_23[[#This Row],[Funding]]</f>
        <v>4.5507119761025336</v>
      </c>
      <c r="R4" s="98">
        <f>0.03*nz_grouping_summary_data_22_23[[#This Row],[Export TO (AUD)]]</f>
        <v>399901.56209999992</v>
      </c>
      <c r="S4" s="97">
        <f>nz_grouping_summary_data_22_23[[#This Row],[GBR]]+nz_grouping_summary_data_22_23[[#This Row],[Export Earned (AUD)]]</f>
        <v>7710536.2690999927</v>
      </c>
    </row>
    <row r="7" spans="1:19" x14ac:dyDescent="0.3">
      <c r="A7" s="126" t="s">
        <v>130</v>
      </c>
      <c r="B7" s="126"/>
    </row>
    <row r="9" spans="1:19" ht="28.8" x14ac:dyDescent="0.3">
      <c r="A9" s="131" t="str">
        <f>CONCATENATE("YTD (as at", " ", TEXT(NOTES!F1, "dd"), " ", TEXT(NOTES!F1, "mmmm"), "):")</f>
        <v>YTD (as at 12 June):</v>
      </c>
      <c r="B9" s="132"/>
      <c r="C9" s="83" t="s">
        <v>49</v>
      </c>
      <c r="D9" s="100" t="s">
        <v>50</v>
      </c>
      <c r="E9" s="84" t="s">
        <v>128</v>
      </c>
      <c r="F9" s="100" t="s">
        <v>52</v>
      </c>
      <c r="G9" s="85" t="s">
        <v>53</v>
      </c>
      <c r="H9" s="101" t="s">
        <v>129</v>
      </c>
      <c r="I9" s="84" t="s">
        <v>55</v>
      </c>
      <c r="J9" s="100" t="s">
        <v>16</v>
      </c>
      <c r="K9" s="84" t="s">
        <v>56</v>
      </c>
      <c r="L9" s="100" t="s">
        <v>57</v>
      </c>
      <c r="M9" s="84" t="s">
        <v>12</v>
      </c>
      <c r="N9" s="101" t="s">
        <v>58</v>
      </c>
      <c r="O9" s="84" t="s">
        <v>59</v>
      </c>
      <c r="P9" s="100" t="s">
        <v>60</v>
      </c>
      <c r="Q9" s="85" t="s">
        <v>61</v>
      </c>
      <c r="R9" s="101" t="s">
        <v>29</v>
      </c>
      <c r="S9" s="86" t="s">
        <v>126</v>
      </c>
    </row>
    <row r="10" spans="1:19" x14ac:dyDescent="0.3">
      <c r="A10" s="127" t="str">
        <f>CONCATENATE("Current Season (as at", " ", TEXT(NOTES!F1, "dd"), " ", TEXT(NOTES!F1, "mmmm"), "):")</f>
        <v>Current Season (as at 12 June):</v>
      </c>
      <c r="B10" s="128"/>
      <c r="C10" s="105">
        <f>SUM(nz_grouping_summary_data_22_23[Races])</f>
        <v>2370</v>
      </c>
      <c r="D10" s="106">
        <f>SUM(nz_grouping_summary_data_22_23[Starters])</f>
        <v>23012</v>
      </c>
      <c r="E10" s="107">
        <f>D10/C10</f>
        <v>9.7097046413502106</v>
      </c>
      <c r="F10" s="108">
        <f>(ROUND(F2*C2,0) + ROUND(F3*C3,0) + ROUND(F4*C4,0))/C10</f>
        <v>0.35147679324894515</v>
      </c>
      <c r="G10" s="109">
        <f>SUM(nz_grouping_summary_data_22_23[HRNZ Funded Stakes])</f>
        <v>43405699</v>
      </c>
      <c r="H10" s="102">
        <f>G10/C10</f>
        <v>18314.640928270041</v>
      </c>
      <c r="I10" s="110">
        <f>L10/G10</f>
        <v>0.82440436189151034</v>
      </c>
      <c r="J10" s="108">
        <f>(ROUND(J2*C2,0) + ROUND(J3*C3,0) + ROUND(J4*C4,0))/C10</f>
        <v>0.140084388185654</v>
      </c>
      <c r="K10" s="109">
        <f>SUM(nz_grouping_summary_data_22_23[Turnover])</f>
        <v>194506027.33429989</v>
      </c>
      <c r="L10" s="102">
        <f>SUM(nz_grouping_summary_data_22_23[GBR])</f>
        <v>35783847.586549968</v>
      </c>
      <c r="M10" s="109">
        <f>SUM(nz_grouping_summary_data_22_23[Funding])</f>
        <v>47621750.490000047</v>
      </c>
      <c r="N10" s="102">
        <f>SUM(nz_grouping_summary_data_22_23[Export TO (AUD)])</f>
        <v>62499672.920000009</v>
      </c>
      <c r="O10" s="110">
        <f>L10/K10</f>
        <v>0.18397294971763437</v>
      </c>
      <c r="P10" s="108">
        <f>L10/M10</f>
        <v>0.75141814860552247</v>
      </c>
      <c r="Q10" s="110">
        <f>K10/M10</f>
        <v>4.0843947425902298</v>
      </c>
      <c r="R10" s="102">
        <f>SUM(nz_grouping_summary_data_22_23[Export Earned (AUD)])</f>
        <v>1874990.1876000001</v>
      </c>
      <c r="S10" s="102">
        <f>SUM(nz_grouping_summary_data_22_23[GBR + Export Earned])</f>
        <v>37658837.774149969</v>
      </c>
    </row>
    <row r="11" spans="1:19" x14ac:dyDescent="0.3">
      <c r="A11" s="129" t="str">
        <f>CONCATENATE("Prior Season (as at", " ", TEXT(NOTES!F1, "dd"), " ", TEXT(NOTES!F1, "mmmm"), "):")</f>
        <v>Prior Season (as at 12 June):</v>
      </c>
      <c r="B11" s="130"/>
      <c r="C11" s="111" cm="1">
        <f t="array" ref="C11">prior_yr_cumulative_total[Races]</f>
        <v>2111</v>
      </c>
      <c r="D11" s="92" cm="1">
        <f t="array" ref="D11">prior_yr_cumulative_total[Starters]</f>
        <v>21384</v>
      </c>
      <c r="E11" s="112" cm="1">
        <f t="array" ref="E11">prior_yr_cumulative_total[AFS]</f>
        <v>10.130000000000001</v>
      </c>
      <c r="F11" s="95" cm="1">
        <f t="array" ref="F11">prior_yr_cumulative_total[num_fav_winners]/prior_yr_cumulative_total[Races]</f>
        <v>0.36191378493604925</v>
      </c>
      <c r="G11" s="113" cm="1">
        <f t="array" ref="G11">prior_yr_cumulative_total[hrnz_funded_stakes]</f>
        <v>34801864</v>
      </c>
      <c r="H11" s="96">
        <f>G11/C11</f>
        <v>16485.961155850309</v>
      </c>
      <c r="I11" s="103">
        <f>L11/G11</f>
        <v>0.9331236108502694</v>
      </c>
      <c r="J11" s="95" cm="1">
        <f t="array" ref="J11">prior_yr_cumulative_total[num_late_starts]/prior_yr_cumulative_total[Races]</f>
        <v>0.14684983420180009</v>
      </c>
      <c r="K11" s="113" cm="1">
        <f t="array" ref="K11">prior_yr_cumulative_total[turnover]</f>
        <v>180432638</v>
      </c>
      <c r="L11" s="96" cm="1">
        <f t="array" ref="L11">prior_yr_cumulative_total[GBR]</f>
        <v>32474441</v>
      </c>
      <c r="M11" s="113" cm="1">
        <f t="array" ref="M11">prior_yr_cumulative_total[total_funding]</f>
        <v>42377863</v>
      </c>
      <c r="N11" s="96" cm="1">
        <f t="array" ref="N11">prior_yr_cumulative_total[export_TO]</f>
        <v>57215239</v>
      </c>
      <c r="O11" s="103">
        <f>L11/K11</f>
        <v>0.17998096885331799</v>
      </c>
      <c r="P11" s="95">
        <f>L11/M11</f>
        <v>0.76630671537165529</v>
      </c>
      <c r="Q11" s="103">
        <f>K11/M11</f>
        <v>4.2577096914962418</v>
      </c>
      <c r="R11" s="96" cm="1">
        <f t="array" ref="R11">prior_yr_cumulative_total[Export Earned (AUD)]</f>
        <v>1716457.17</v>
      </c>
      <c r="S11" s="96" cm="1">
        <f t="array" ref="S11">prior_yr_cumulative_total[GBR + Export Earned]</f>
        <v>34190898.170000002</v>
      </c>
    </row>
    <row r="12" spans="1:19" x14ac:dyDescent="0.3">
      <c r="A12" s="133" t="s">
        <v>131</v>
      </c>
      <c r="B12" s="134"/>
      <c r="C12" s="137">
        <f>(C10-C11)/C11</f>
        <v>0.12269066792989104</v>
      </c>
      <c r="D12" s="137">
        <f>(D10-D11)/D11</f>
        <v>7.6131687242798354E-2</v>
      </c>
      <c r="E12" s="139">
        <f>(E10-E11)/E11</f>
        <v>-4.1490163736405739E-2</v>
      </c>
      <c r="F12" s="137">
        <f>F11-F10</f>
        <v>1.0436991687104102E-2</v>
      </c>
      <c r="G12" s="137">
        <f>(G10-G11)/G11</f>
        <v>0.24722339585029124</v>
      </c>
      <c r="H12" s="137">
        <f>(H10-H11)/H11</f>
        <v>0.11092345512234783</v>
      </c>
      <c r="I12" s="137">
        <f>I10-I11</f>
        <v>-0.10871924895875906</v>
      </c>
      <c r="J12" s="137">
        <f>J11-J10</f>
        <v>6.7654460161460928E-3</v>
      </c>
      <c r="K12" s="137">
        <f t="shared" ref="K12:S12" si="0">(K10-K11)/K11</f>
        <v>7.7998024583001951E-2</v>
      </c>
      <c r="L12" s="137">
        <f t="shared" si="0"/>
        <v>0.10190803858794575</v>
      </c>
      <c r="M12" s="137">
        <f t="shared" si="0"/>
        <v>0.12374119690745253</v>
      </c>
      <c r="N12" s="137">
        <f t="shared" si="0"/>
        <v>9.2360602041704473E-2</v>
      </c>
      <c r="O12" s="137">
        <f t="shared" si="0"/>
        <v>2.218001653035763E-2</v>
      </c>
      <c r="P12" s="137">
        <f t="shared" si="0"/>
        <v>-1.942899163934891E-2</v>
      </c>
      <c r="Q12" s="137">
        <f t="shared" si="0"/>
        <v>-4.0706145196363945E-2</v>
      </c>
      <c r="R12" s="137">
        <f t="shared" si="0"/>
        <v>9.236060204170439E-2</v>
      </c>
      <c r="S12" s="137">
        <f t="shared" si="0"/>
        <v>0.10142873658676885</v>
      </c>
    </row>
    <row r="13" spans="1:19" x14ac:dyDescent="0.3">
      <c r="A13" s="135"/>
      <c r="B13" s="136"/>
      <c r="C13" s="138"/>
      <c r="D13" s="138"/>
      <c r="E13" s="140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  <row r="14" spans="1:19" x14ac:dyDescent="0.3">
      <c r="C14" s="19"/>
      <c r="D14" s="19"/>
      <c r="E14" s="19"/>
      <c r="Q14" s="104"/>
    </row>
    <row r="15" spans="1:19" x14ac:dyDescent="0.3">
      <c r="K15" s="5"/>
    </row>
    <row r="16" spans="1:19" x14ac:dyDescent="0.3">
      <c r="M16" s="5"/>
    </row>
    <row r="17" spans="1:18" x14ac:dyDescent="0.3">
      <c r="A17" s="7" t="s">
        <v>132</v>
      </c>
      <c r="B17" s="3" t="s">
        <v>133</v>
      </c>
    </row>
    <row r="18" spans="1:18" x14ac:dyDescent="0.3">
      <c r="B18" s="3" t="s">
        <v>134</v>
      </c>
    </row>
    <row r="19" spans="1:18" x14ac:dyDescent="0.3">
      <c r="B19" s="3" t="s">
        <v>135</v>
      </c>
    </row>
    <row r="20" spans="1:18" x14ac:dyDescent="0.3">
      <c r="B20" s="7" t="s">
        <v>136</v>
      </c>
    </row>
    <row r="25" spans="1:18" x14ac:dyDescent="0.3">
      <c r="A25" s="7" t="s">
        <v>137</v>
      </c>
      <c r="C25"/>
      <c r="D25"/>
      <c r="E25"/>
      <c r="F25"/>
      <c r="G25"/>
      <c r="H25"/>
    </row>
    <row r="26" spans="1:18" x14ac:dyDescent="0.3">
      <c r="I26" s="80"/>
      <c r="J26" s="80"/>
    </row>
    <row r="27" spans="1:18" ht="43.2" x14ac:dyDescent="0.3">
      <c r="A27" s="33" t="s">
        <v>138</v>
      </c>
      <c r="B27" s="34" t="s">
        <v>67</v>
      </c>
      <c r="C27" s="35" t="s">
        <v>49</v>
      </c>
      <c r="D27" s="36" t="s">
        <v>50</v>
      </c>
      <c r="E27" s="36" t="s">
        <v>51</v>
      </c>
      <c r="F27" s="38" t="s">
        <v>53</v>
      </c>
      <c r="G27" s="37" t="s">
        <v>54</v>
      </c>
      <c r="H27" s="36" t="s">
        <v>55</v>
      </c>
      <c r="I27" s="37" t="s">
        <v>56</v>
      </c>
      <c r="J27" s="79" t="s">
        <v>57</v>
      </c>
      <c r="K27" s="36" t="s">
        <v>12</v>
      </c>
      <c r="L27" s="38" t="s">
        <v>58</v>
      </c>
      <c r="M27" s="36" t="s">
        <v>59</v>
      </c>
      <c r="N27" s="37" t="s">
        <v>139</v>
      </c>
      <c r="O27" s="39" t="s">
        <v>140</v>
      </c>
      <c r="P27" s="76"/>
      <c r="Q27" s="76"/>
      <c r="R27" s="78"/>
    </row>
    <row r="28" spans="1:18" x14ac:dyDescent="0.3">
      <c r="A28" s="51" t="s">
        <v>141</v>
      </c>
      <c r="B28" s="52" t="s">
        <v>142</v>
      </c>
      <c r="C28" s="53">
        <f>SUMIF('Raceday Breakdown'!$Y:$Y,'NZ Grouping Breakdown'!$B28,'Raceday Breakdown'!$E:$E)</f>
        <v>612</v>
      </c>
      <c r="D28" s="53">
        <f>SUMIF('Raceday Breakdown'!$Y:$Y,'NZ Grouping Breakdown'!$B28,'Raceday Breakdown'!$F:$F)</f>
        <v>5765</v>
      </c>
      <c r="E28" s="60">
        <f>D28/C28</f>
        <v>9.4199346405228752</v>
      </c>
      <c r="F28" s="25">
        <f>SUMIF('Raceday Breakdown'!$Y:$Y,'NZ Grouping Breakdown'!$B28,'Raceday Breakdown'!$I:$I)</f>
        <v>9279628</v>
      </c>
      <c r="G28" s="56">
        <f>F28/C28</f>
        <v>15162.790849673203</v>
      </c>
      <c r="H28" s="57">
        <f>J28/F28</f>
        <v>0.93846174398370175</v>
      </c>
      <c r="I28" s="58">
        <f>SUMIF('Raceday Breakdown'!$Y:$Y,'NZ Grouping Breakdown'!$B28,'Raceday Breakdown'!$AB:$AB)</f>
        <v>47079079.075499952</v>
      </c>
      <c r="J28" s="58">
        <f>SUMIF('Raceday Breakdown'!$Y:$Y,'NZ Grouping Breakdown'!$B28,'Raceday Breakdown'!$AC:$AC)</f>
        <v>8708575.8763999902</v>
      </c>
      <c r="K28" s="58">
        <f>SUMIF('Raceday Breakdown'!$Y:$Y,'NZ Grouping Breakdown'!$B28,'Raceday Breakdown'!$O:$O)</f>
        <v>11238775.520000003</v>
      </c>
      <c r="L28" s="25">
        <f>SUMIF('Raceday Breakdown'!$Y:$Y,'NZ Grouping Breakdown'!$B28,'Raceday Breakdown'!$P:$P)</f>
        <v>16565608</v>
      </c>
      <c r="M28" s="30">
        <f>J28/I28</f>
        <v>0.18497761739209445</v>
      </c>
      <c r="N28" s="30">
        <f>J28/K28</f>
        <v>0.77486874445553366</v>
      </c>
      <c r="O28" s="31">
        <f>I28/K28</f>
        <v>4.1889865129631074</v>
      </c>
    </row>
    <row r="29" spans="1:18" x14ac:dyDescent="0.3">
      <c r="A29" s="61" t="s">
        <v>143</v>
      </c>
      <c r="B29" s="62" t="s">
        <v>142</v>
      </c>
      <c r="C29" s="63">
        <f>SUMIF('raceday_23_24'!$AA:$AA, "Q1", 'raceday_23_24'!H:H)</f>
        <v>488</v>
      </c>
      <c r="D29" s="63">
        <f>SUMIF('raceday_23_24'!$AA:$AA, "Q1", 'raceday_23_24'!I:I)</f>
        <v>4882</v>
      </c>
      <c r="E29" s="64">
        <f>D29/C29</f>
        <v>10.004098360655737</v>
      </c>
      <c r="F29" s="65">
        <f>SUMIF('raceday_23_24'!$AA:$AA, "Q1", 'raceday_23_24'!L:L)</f>
        <v>7722169</v>
      </c>
      <c r="G29" s="65">
        <f>F29/C29</f>
        <v>15824.116803278688</v>
      </c>
      <c r="H29" s="66">
        <f>J29/F29</f>
        <v>1.0341991997326141</v>
      </c>
      <c r="I29" s="65">
        <f>SUMIF('raceday_23_24'!$AA:$AA, "Q1", 'raceday_23_24'!P:P)</f>
        <v>40509537</v>
      </c>
      <c r="J29" s="65">
        <f>SUMIF('raceday_23_24'!$AA:$AA, "Q1", 'raceday_23_24'!Q:Q)</f>
        <v>7986261</v>
      </c>
      <c r="K29" s="65">
        <f>SUMIF('raceday_23_24'!$AA:$AA, "Q1", 'raceday_23_24'!R:R)</f>
        <v>8733535.209999999</v>
      </c>
      <c r="L29" s="65">
        <f>SUMIF('raceday_23_24'!$AA:$AA, "Q1", 'raceday_23_24'!S:S)</f>
        <v>14526119</v>
      </c>
      <c r="M29" s="67">
        <f>J29/I29</f>
        <v>0.19714520558455162</v>
      </c>
      <c r="N29" s="67">
        <f>J29/K29</f>
        <v>0.91443622862545271</v>
      </c>
      <c r="O29" s="68">
        <f>I29/K29</f>
        <v>4.6383893836731902</v>
      </c>
      <c r="Q29" s="23"/>
    </row>
    <row r="30" spans="1:18" x14ac:dyDescent="0.3">
      <c r="A30" s="40" t="s">
        <v>144</v>
      </c>
      <c r="B30" s="41" t="s">
        <v>142</v>
      </c>
      <c r="C30" s="42">
        <f>(C28-C29)/C29</f>
        <v>0.25409836065573771</v>
      </c>
      <c r="D30" s="42">
        <f>(D28-D29)/D29</f>
        <v>0.18086849651782055</v>
      </c>
      <c r="E30" s="43">
        <f>(E28-E29)/E29</f>
        <v>-5.8392440685136555E-2</v>
      </c>
      <c r="F30" s="42">
        <f t="shared" ref="F30:O30" si="1">(F28-F29)/F29</f>
        <v>0.20168672817183877</v>
      </c>
      <c r="G30" s="42">
        <f t="shared" si="1"/>
        <v>-4.1792282111344177E-2</v>
      </c>
      <c r="H30" s="42">
        <f t="shared" si="1"/>
        <v>-9.2571581735573463E-2</v>
      </c>
      <c r="I30" s="42">
        <f t="shared" si="1"/>
        <v>0.16217272677048744</v>
      </c>
      <c r="J30" s="42">
        <f t="shared" si="1"/>
        <v>9.0444686994325646E-2</v>
      </c>
      <c r="K30" s="42">
        <f t="shared" si="1"/>
        <v>0.28685294668892786</v>
      </c>
      <c r="L30" s="42">
        <f t="shared" si="1"/>
        <v>0.14040150710592417</v>
      </c>
      <c r="M30" s="42">
        <f t="shared" si="1"/>
        <v>-6.1718915032091586E-2</v>
      </c>
      <c r="N30" s="43">
        <f t="shared" si="1"/>
        <v>-0.1526268096132978</v>
      </c>
      <c r="O30" s="42">
        <f t="shared" si="1"/>
        <v>-9.6887698193676833E-2</v>
      </c>
      <c r="Q30" s="23"/>
    </row>
    <row r="31" spans="1:18" x14ac:dyDescent="0.3">
      <c r="A31" s="51" t="s">
        <v>141</v>
      </c>
      <c r="B31" s="52" t="s">
        <v>145</v>
      </c>
      <c r="C31" s="23">
        <f>SUMIF('Raceday Breakdown'!$Y:$Y,'NZ Grouping Breakdown'!$B31,'Raceday Breakdown'!$E:$E)</f>
        <v>752</v>
      </c>
      <c r="D31" s="55">
        <f>SUMIF('Raceday Breakdown'!$Y:$Y,'NZ Grouping Breakdown'!$B31,'Raceday Breakdown'!$F:$F)</f>
        <v>7568</v>
      </c>
      <c r="E31" s="54">
        <f>D31/C31</f>
        <v>10.063829787234043</v>
      </c>
      <c r="F31" s="56">
        <f>SUMIF('Raceday Breakdown'!$Y:$Y,'NZ Grouping Breakdown'!$B31,'Raceday Breakdown'!$I:$I)</f>
        <v>16236150</v>
      </c>
      <c r="G31" s="56">
        <f>F31/C31</f>
        <v>21590.625</v>
      </c>
      <c r="H31" s="30">
        <f>J31/F31</f>
        <v>0.83594634512800081</v>
      </c>
      <c r="I31" s="59">
        <f>SUMIF('Raceday Breakdown'!$Y:$Y,'NZ Grouping Breakdown'!$B31,'Raceday Breakdown'!$AB:$AB)</f>
        <v>74670859.032899961</v>
      </c>
      <c r="J31" s="25">
        <f>SUMIF('Raceday Breakdown'!$Y:$Y,'NZ Grouping Breakdown'!$B31,'Raceday Breakdown'!$AC:$AC)</f>
        <v>13572550.251449991</v>
      </c>
      <c r="K31" s="56">
        <f>SUMIF('Raceday Breakdown'!$Y:$Y,'NZ Grouping Breakdown'!$B31,'Raceday Breakdown'!$O:$O)</f>
        <v>17968438.609999999</v>
      </c>
      <c r="L31" s="56">
        <f>SUMIF('Raceday Breakdown'!$Y:$Y,'NZ Grouping Breakdown'!$B31,'Raceday Breakdown'!$P:$P)</f>
        <v>21453882</v>
      </c>
      <c r="M31" s="30">
        <f>J31/I31</f>
        <v>0.18176502088277743</v>
      </c>
      <c r="N31" s="30">
        <f>J31/K31</f>
        <v>0.75535501698497287</v>
      </c>
      <c r="O31" s="30">
        <f>I31/K31</f>
        <v>4.1556676489043012</v>
      </c>
      <c r="Q31" s="23"/>
    </row>
    <row r="32" spans="1:18" x14ac:dyDescent="0.3">
      <c r="A32" s="61" t="s">
        <v>143</v>
      </c>
      <c r="B32" s="62" t="s">
        <v>145</v>
      </c>
      <c r="C32" s="63">
        <f>SUMIF('raceday_23_24'!$AA:$AA, "Q2", 'raceday_23_24'!H:H)</f>
        <v>696</v>
      </c>
      <c r="D32" s="63">
        <f>SUMIF('raceday_23_24'!$AA:$AA, "Q2", 'raceday_23_24'!I:I)</f>
        <v>7229</v>
      </c>
      <c r="E32" s="64">
        <f t="shared" ref="E32:E38" si="2">D32/C32</f>
        <v>10.386494252873563</v>
      </c>
      <c r="F32" s="65">
        <f>SUMIF('raceday_23_24'!$AA:$AA, "Q2", 'raceday_23_24'!L:L)</f>
        <v>12905375</v>
      </c>
      <c r="G32" s="65">
        <f>F32/C32</f>
        <v>18542.205459770114</v>
      </c>
      <c r="H32" s="66">
        <f t="shared" ref="H32:H38" si="3">J32/F32</f>
        <v>0.99859422914870744</v>
      </c>
      <c r="I32" s="65">
        <f>SUMIF('raceday_23_24'!$AA:$AA, "Q2", 'raceday_23_24'!P:P)</f>
        <v>70918176</v>
      </c>
      <c r="J32" s="65">
        <f>SUMIF('raceday_23_24'!$AA:$AA, "Q2", 'raceday_23_24'!Q:Q)</f>
        <v>12887233</v>
      </c>
      <c r="K32" s="65">
        <f>SUMIF('raceday_23_24'!$AA:$AA, "Q2", 'raceday_23_24'!R:R)</f>
        <v>14733181.810000002</v>
      </c>
      <c r="L32" s="65">
        <f>SUMIF('raceday_23_24'!$AA:$AA, "Q2", 'raceday_23_24'!S:S)</f>
        <v>19487546</v>
      </c>
      <c r="M32" s="67">
        <f t="shared" ref="M32:M38" si="4">J32/I32</f>
        <v>0.18171974699405694</v>
      </c>
      <c r="N32" s="67">
        <f t="shared" ref="N32:N38" si="5">J32/K32</f>
        <v>0.87470806823634784</v>
      </c>
      <c r="O32" s="68">
        <f t="shared" ref="O32:O38" si="6">I32/K32</f>
        <v>4.8135003636393723</v>
      </c>
      <c r="Q32" s="23"/>
    </row>
    <row r="33" spans="1:17" x14ac:dyDescent="0.3">
      <c r="A33" s="40" t="s">
        <v>144</v>
      </c>
      <c r="B33" s="41" t="s">
        <v>145</v>
      </c>
      <c r="C33" s="42">
        <f>(C31-C32)/C32</f>
        <v>8.0459770114942528E-2</v>
      </c>
      <c r="D33" s="42">
        <f>(D31-D32)/D32</f>
        <v>4.689445289804952E-2</v>
      </c>
      <c r="E33" s="43">
        <f>(E31-E32)/E32</f>
        <v>-3.1065772317762561E-2</v>
      </c>
      <c r="F33" s="42">
        <f t="shared" ref="F33:O33" si="7">(F31-F32)/F32</f>
        <v>0.25809207403891787</v>
      </c>
      <c r="G33" s="42">
        <f t="shared" si="7"/>
        <v>0.16440436639772196</v>
      </c>
      <c r="H33" s="42">
        <f t="shared" si="7"/>
        <v>-0.16287685155096729</v>
      </c>
      <c r="I33" s="42">
        <f t="shared" si="7"/>
        <v>5.2915673309194541E-2</v>
      </c>
      <c r="J33" s="42">
        <f t="shared" si="7"/>
        <v>5.3177998058232596E-2</v>
      </c>
      <c r="K33" s="42">
        <f t="shared" si="7"/>
        <v>0.21958982395806032</v>
      </c>
      <c r="L33" s="42">
        <f t="shared" si="7"/>
        <v>0.1009021864528248</v>
      </c>
      <c r="M33" s="42">
        <f t="shared" si="7"/>
        <v>2.4914127093726961E-4</v>
      </c>
      <c r="N33" s="42">
        <f t="shared" si="7"/>
        <v>-0.1364490114879397</v>
      </c>
      <c r="O33" s="42">
        <f t="shared" si="7"/>
        <v>-0.13666410409029231</v>
      </c>
      <c r="Q33" s="23"/>
    </row>
    <row r="34" spans="1:17" x14ac:dyDescent="0.3">
      <c r="A34" s="51" t="s">
        <v>141</v>
      </c>
      <c r="B34" s="52" t="s">
        <v>146</v>
      </c>
      <c r="D34" s="51"/>
      <c r="E34" s="60"/>
      <c r="G34" s="56"/>
      <c r="H34" s="32"/>
      <c r="I34" s="51"/>
      <c r="K34" s="51"/>
      <c r="M34" s="30"/>
      <c r="N34" s="30"/>
      <c r="O34" s="31"/>
    </row>
    <row r="35" spans="1:17" x14ac:dyDescent="0.3">
      <c r="A35" s="61" t="s">
        <v>143</v>
      </c>
      <c r="B35" s="62" t="s">
        <v>146</v>
      </c>
      <c r="C35" s="63">
        <f>SUMIF('raceday_23_24'!$AA:$AA, "Q3", 'raceday_23_24'!H:H)</f>
        <v>662</v>
      </c>
      <c r="D35" s="63">
        <f>SUMIF('raceday_23_24'!$AA:$AA, "Q3", 'raceday_23_24'!I:I)</f>
        <v>6665</v>
      </c>
      <c r="E35" s="69">
        <f t="shared" si="2"/>
        <v>10.06797583081571</v>
      </c>
      <c r="F35" s="70">
        <f>SUMIF('raceday_23_24'!$AA:$AA, "Q3", 'raceday_23_24'!L:L)</f>
        <v>12927712</v>
      </c>
      <c r="G35" s="65">
        <f>F35/C35</f>
        <v>19528.26586102719</v>
      </c>
      <c r="H35" s="66">
        <f t="shared" si="3"/>
        <v>0.65693055352718255</v>
      </c>
      <c r="I35" s="65">
        <f>SUMIF('raceday_23_24'!$AA:$AA, "Q3", 'raceday_23_24'!P:P)</f>
        <v>50850796</v>
      </c>
      <c r="J35" s="65">
        <f>SUMIF('raceday_23_24'!$AA:$AA, "Q3", 'raceday_23_24'!Q:Q)</f>
        <v>8492609</v>
      </c>
      <c r="K35" s="65">
        <f>SUMIF('raceday_23_24'!$AA:$AA, "Q3", 'raceday_23_24'!R:R)</f>
        <v>12882561.310000001</v>
      </c>
      <c r="L35" s="65">
        <f>SUMIF('raceday_23_24'!$AA:$AA, "Q3", 'raceday_23_24'!S:S)</f>
        <v>16662068</v>
      </c>
      <c r="M35" s="67">
        <f t="shared" si="4"/>
        <v>0.16701034532478115</v>
      </c>
      <c r="N35" s="67">
        <f t="shared" si="5"/>
        <v>0.65923295807703008</v>
      </c>
      <c r="O35" s="68">
        <f t="shared" si="6"/>
        <v>3.9472582180165845</v>
      </c>
    </row>
    <row r="36" spans="1:17" x14ac:dyDescent="0.3">
      <c r="A36" s="40" t="s">
        <v>144</v>
      </c>
      <c r="B36" s="41" t="s">
        <v>146</v>
      </c>
      <c r="C36" s="46"/>
      <c r="D36" s="44"/>
      <c r="E36" s="71"/>
      <c r="F36" s="47"/>
      <c r="G36" s="48"/>
      <c r="H36" s="43"/>
      <c r="I36" s="48"/>
      <c r="J36" s="47"/>
      <c r="K36" s="48"/>
      <c r="L36" s="47"/>
      <c r="M36" s="42"/>
      <c r="N36" s="42"/>
      <c r="O36" s="45"/>
    </row>
    <row r="37" spans="1:17" x14ac:dyDescent="0.3">
      <c r="A37" s="51" t="s">
        <v>141</v>
      </c>
      <c r="B37" s="52" t="s">
        <v>147</v>
      </c>
      <c r="D37" s="51"/>
      <c r="E37" s="60"/>
      <c r="G37" s="56"/>
      <c r="H37" s="32"/>
      <c r="I37" s="51"/>
      <c r="K37" s="51"/>
      <c r="M37" s="30"/>
      <c r="N37" s="30"/>
      <c r="O37" s="31"/>
    </row>
    <row r="38" spans="1:17" x14ac:dyDescent="0.3">
      <c r="A38" s="61" t="s">
        <v>143</v>
      </c>
      <c r="B38" s="62" t="s">
        <v>147</v>
      </c>
      <c r="C38" s="63">
        <f>SUMIF('raceday_23_24'!$AA:$AA, "Q4", 'raceday_23_24'!H:H)</f>
        <v>485</v>
      </c>
      <c r="D38" s="63">
        <f>SUMIF('raceday_23_24'!$AA:$AA, "Q4", 'raceday_23_24'!I:I)</f>
        <v>4784</v>
      </c>
      <c r="E38" s="64">
        <f t="shared" si="2"/>
        <v>9.8639175257731964</v>
      </c>
      <c r="F38" s="65">
        <f>SUMIF('raceday_23_24'!$AA:$AA, "Q4", 'raceday_23_24'!L:L)</f>
        <v>8375199</v>
      </c>
      <c r="G38" s="65">
        <f>F38/C38</f>
        <v>17268.451546391752</v>
      </c>
      <c r="H38" s="68">
        <f t="shared" si="3"/>
        <v>0.74779130621254497</v>
      </c>
      <c r="I38" s="65">
        <f>SUMIF('raceday_23_24'!$AA:$AA, "Q4", 'raceday_23_24'!P:P)</f>
        <v>35703019</v>
      </c>
      <c r="J38" s="65">
        <f>SUMIF('raceday_23_24'!$AA:$AA, "Q4", 'raceday_23_24'!Q:Q)</f>
        <v>6262901</v>
      </c>
      <c r="K38" s="65">
        <f>SUMIF('raceday_23_24'!$AA:$AA, "Q4", 'raceday_23_24'!R:R)</f>
        <v>9531435.6099999994</v>
      </c>
      <c r="L38" s="65">
        <f>SUMIF('raceday_23_24'!$AA:$AA, "Q4", 'raceday_23_24'!S:S)</f>
        <v>11651677</v>
      </c>
      <c r="M38" s="67">
        <f t="shared" si="4"/>
        <v>0.17541656631334174</v>
      </c>
      <c r="N38" s="67">
        <f t="shared" si="5"/>
        <v>0.65707845662086994</v>
      </c>
      <c r="O38" s="68">
        <f t="shared" si="6"/>
        <v>3.7458175725954468</v>
      </c>
    </row>
    <row r="39" spans="1:17" x14ac:dyDescent="0.3">
      <c r="A39" s="72" t="s">
        <v>144</v>
      </c>
      <c r="B39" s="73" t="s">
        <v>147</v>
      </c>
      <c r="C39" s="72"/>
      <c r="D39" s="72"/>
      <c r="E39" s="74"/>
      <c r="F39" s="75"/>
      <c r="G39" s="74"/>
      <c r="H39" s="75"/>
      <c r="I39" s="72"/>
      <c r="J39" s="72"/>
      <c r="K39" s="72"/>
      <c r="L39" s="72"/>
      <c r="M39" s="72"/>
      <c r="N39" s="72"/>
      <c r="O39" s="72"/>
    </row>
    <row r="42" spans="1:17" x14ac:dyDescent="0.3">
      <c r="A42" s="7" t="s">
        <v>132</v>
      </c>
    </row>
    <row r="43" spans="1:17" x14ac:dyDescent="0.3">
      <c r="A43" s="3" t="s">
        <v>148</v>
      </c>
    </row>
    <row r="44" spans="1:17" x14ac:dyDescent="0.3">
      <c r="A44" s="3" t="s">
        <v>149</v>
      </c>
    </row>
    <row r="45" spans="1:17" x14ac:dyDescent="0.3">
      <c r="A45" s="3" t="s">
        <v>150</v>
      </c>
    </row>
    <row r="46" spans="1:17" x14ac:dyDescent="0.3">
      <c r="A46" s="3" t="s">
        <v>151</v>
      </c>
    </row>
  </sheetData>
  <mergeCells count="22">
    <mergeCell ref="R12:R13"/>
    <mergeCell ref="S12:S13"/>
    <mergeCell ref="L12:L13"/>
    <mergeCell ref="M12:M13"/>
    <mergeCell ref="N12:N13"/>
    <mergeCell ref="O12:O13"/>
    <mergeCell ref="P12:P13"/>
    <mergeCell ref="H12:H13"/>
    <mergeCell ref="I12:I13"/>
    <mergeCell ref="J12:J13"/>
    <mergeCell ref="K12:K13"/>
    <mergeCell ref="Q12:Q13"/>
    <mergeCell ref="C12:C13"/>
    <mergeCell ref="D12:D13"/>
    <mergeCell ref="E12:E13"/>
    <mergeCell ref="F12:F13"/>
    <mergeCell ref="G12:G13"/>
    <mergeCell ref="A7:B7"/>
    <mergeCell ref="A10:B10"/>
    <mergeCell ref="A11:B11"/>
    <mergeCell ref="A9:B9"/>
    <mergeCell ref="A12:B13"/>
  </mergeCells>
  <conditionalFormatting sqref="C12:S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ignoredErrors>
    <ignoredError sqref="E30 G30:H30 M30:O30" formula="1"/>
  </ignoredErrors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9D7B-20FF-44A8-9FA1-A2531A31FAEF}">
  <dimension ref="A1:M257"/>
  <sheetViews>
    <sheetView workbookViewId="0">
      <pane ySplit="1" topLeftCell="A240" activePane="bottomLeft" state="frozen"/>
      <selection pane="bottomLeft" activeCell="G244" sqref="G244"/>
    </sheetView>
  </sheetViews>
  <sheetFormatPr defaultRowHeight="14.4" x14ac:dyDescent="0.3"/>
  <cols>
    <col min="1" max="1" width="38.33203125" bestFit="1" customWidth="1"/>
    <col min="2" max="2" width="10.88671875" style="29" customWidth="1"/>
    <col min="3" max="3" width="18.33203125" bestFit="1" customWidth="1"/>
    <col min="4" max="4" width="33.33203125" bestFit="1" customWidth="1"/>
    <col min="5" max="5" width="8" bestFit="1" customWidth="1"/>
    <col min="6" max="6" width="12.44140625" style="50" bestFit="1" customWidth="1"/>
    <col min="7" max="7" width="12.6640625" style="50" bestFit="1" customWidth="1"/>
    <col min="8" max="8" width="12.6640625" style="50" customWidth="1"/>
  </cols>
  <sheetData>
    <row r="1" spans="1:8" x14ac:dyDescent="0.3">
      <c r="A1" s="2" t="s">
        <v>152</v>
      </c>
      <c r="B1" s="13" t="s">
        <v>153</v>
      </c>
      <c r="C1" s="2" t="s">
        <v>154</v>
      </c>
      <c r="D1" s="2" t="s">
        <v>47</v>
      </c>
      <c r="E1" s="2" t="s">
        <v>155</v>
      </c>
      <c r="F1" s="49" t="s">
        <v>156</v>
      </c>
      <c r="G1" s="49" t="s">
        <v>157</v>
      </c>
      <c r="H1" s="49" t="s">
        <v>158</v>
      </c>
    </row>
    <row r="2" spans="1:8" x14ac:dyDescent="0.3">
      <c r="A2" t="str">
        <f>B2&amp;D2</f>
        <v>45505Winton Harness Racing Club Inc</v>
      </c>
      <c r="B2" s="29">
        <v>45505</v>
      </c>
      <c r="C2" t="s">
        <v>159</v>
      </c>
      <c r="D2" t="s">
        <v>75</v>
      </c>
      <c r="E2">
        <v>6379</v>
      </c>
      <c r="F2" s="50">
        <v>418129.20880000002</v>
      </c>
      <c r="G2" s="50">
        <v>80513.772549999994</v>
      </c>
    </row>
    <row r="3" spans="1:8" x14ac:dyDescent="0.3">
      <c r="A3" t="str">
        <f t="shared" ref="A3:A66" si="0">B3&amp;D3</f>
        <v>45506Auckland Trotting Club Inc</v>
      </c>
      <c r="B3" s="29">
        <v>45506</v>
      </c>
      <c r="C3" t="s">
        <v>160</v>
      </c>
      <c r="D3" t="s">
        <v>78</v>
      </c>
      <c r="E3">
        <v>6941</v>
      </c>
      <c r="F3" s="50">
        <v>441780.75949999999</v>
      </c>
      <c r="G3" s="50">
        <v>91815.361050000007</v>
      </c>
    </row>
    <row r="4" spans="1:8" x14ac:dyDescent="0.3">
      <c r="A4" t="str">
        <f t="shared" si="0"/>
        <v>45506NZ Metropolitan Trotting Club Inc</v>
      </c>
      <c r="B4" s="29">
        <v>45506</v>
      </c>
      <c r="C4" t="s">
        <v>161</v>
      </c>
      <c r="D4" t="s">
        <v>80</v>
      </c>
      <c r="E4">
        <v>10703</v>
      </c>
      <c r="F4" s="50">
        <v>860861.24889999896</v>
      </c>
      <c r="G4" s="50">
        <v>166617.4047999999</v>
      </c>
    </row>
    <row r="5" spans="1:8" x14ac:dyDescent="0.3">
      <c r="A5" t="str">
        <f t="shared" si="0"/>
        <v>45508NZ Metropolitan Trotting Club Inc</v>
      </c>
      <c r="B5" s="29">
        <v>45508</v>
      </c>
      <c r="C5" t="s">
        <v>161</v>
      </c>
      <c r="D5" t="s">
        <v>80</v>
      </c>
      <c r="E5">
        <v>9098</v>
      </c>
      <c r="F5" s="50">
        <v>588886.19909999904</v>
      </c>
      <c r="G5" s="50">
        <v>165559.96469999989</v>
      </c>
    </row>
    <row r="6" spans="1:8" x14ac:dyDescent="0.3">
      <c r="A6" t="str">
        <f t="shared" si="0"/>
        <v>45510Waikato Bay of Plenty Harness Inc</v>
      </c>
      <c r="B6" s="29">
        <v>45510</v>
      </c>
      <c r="C6" t="s">
        <v>162</v>
      </c>
      <c r="D6" t="s">
        <v>84</v>
      </c>
      <c r="E6">
        <v>4035</v>
      </c>
      <c r="F6" s="50">
        <v>242627.49149999989</v>
      </c>
      <c r="G6" s="50">
        <v>48944.909149999898</v>
      </c>
    </row>
    <row r="7" spans="1:8" x14ac:dyDescent="0.3">
      <c r="A7" t="str">
        <f t="shared" si="0"/>
        <v>45512Invercargill Harness Racing Club Inc</v>
      </c>
      <c r="B7" s="29">
        <v>45512</v>
      </c>
      <c r="C7" t="s">
        <v>163</v>
      </c>
      <c r="D7" t="s">
        <v>85</v>
      </c>
      <c r="E7">
        <v>5754</v>
      </c>
      <c r="F7" s="50">
        <v>310601.06819999998</v>
      </c>
      <c r="G7" s="50">
        <v>48524.66835</v>
      </c>
    </row>
    <row r="8" spans="1:8" x14ac:dyDescent="0.3">
      <c r="A8" t="str">
        <f t="shared" si="0"/>
        <v>45513Auckland Trotting Club Inc</v>
      </c>
      <c r="B8" s="29">
        <v>45513</v>
      </c>
      <c r="C8" t="s">
        <v>160</v>
      </c>
      <c r="D8" t="s">
        <v>78</v>
      </c>
      <c r="E8">
        <v>6595</v>
      </c>
      <c r="F8" s="50">
        <v>413888.164099999</v>
      </c>
      <c r="G8" s="50">
        <v>117655.66954999989</v>
      </c>
    </row>
    <row r="9" spans="1:8" x14ac:dyDescent="0.3">
      <c r="A9" t="str">
        <f t="shared" si="0"/>
        <v>45513NZ Metropolitan Trotting Club Inc</v>
      </c>
      <c r="B9" s="29">
        <v>45513</v>
      </c>
      <c r="C9" t="s">
        <v>161</v>
      </c>
      <c r="D9" t="s">
        <v>80</v>
      </c>
      <c r="E9">
        <v>9972</v>
      </c>
      <c r="F9" s="50">
        <v>789192.33189999894</v>
      </c>
      <c r="G9" s="50">
        <v>210513.3673499999</v>
      </c>
    </row>
    <row r="10" spans="1:8" x14ac:dyDescent="0.3">
      <c r="A10" t="str">
        <f t="shared" si="0"/>
        <v>45515Ashburton Trotting Club Inc</v>
      </c>
      <c r="B10" s="29">
        <v>45515</v>
      </c>
      <c r="C10" t="s">
        <v>164</v>
      </c>
      <c r="D10" t="s">
        <v>86</v>
      </c>
      <c r="E10">
        <v>9206</v>
      </c>
      <c r="F10" s="50">
        <v>586026.42920000001</v>
      </c>
      <c r="G10" s="50">
        <v>71495.557100000005</v>
      </c>
    </row>
    <row r="11" spans="1:8" x14ac:dyDescent="0.3">
      <c r="A11" t="str">
        <f t="shared" si="0"/>
        <v>45517Waikato Bay of Plenty Harness Inc</v>
      </c>
      <c r="B11" s="29">
        <v>45517</v>
      </c>
      <c r="C11" t="s">
        <v>162</v>
      </c>
      <c r="D11" t="s">
        <v>84</v>
      </c>
      <c r="E11">
        <v>4147</v>
      </c>
      <c r="F11" s="50">
        <v>228467.2030999999</v>
      </c>
      <c r="G11" s="50">
        <v>51272.991699999897</v>
      </c>
    </row>
    <row r="12" spans="1:8" x14ac:dyDescent="0.3">
      <c r="A12" t="str">
        <f t="shared" si="0"/>
        <v>45520Auckland Trotting Club Inc</v>
      </c>
      <c r="B12" s="29">
        <v>45520</v>
      </c>
      <c r="C12" t="s">
        <v>160</v>
      </c>
      <c r="D12" t="s">
        <v>78</v>
      </c>
      <c r="E12">
        <v>7695</v>
      </c>
      <c r="F12" s="50">
        <v>509022.46499999898</v>
      </c>
      <c r="G12" s="50">
        <v>62444.790999999903</v>
      </c>
    </row>
    <row r="13" spans="1:8" x14ac:dyDescent="0.3">
      <c r="A13" t="str">
        <f t="shared" si="0"/>
        <v>45520NZ Metropolitan Trotting Club Inc</v>
      </c>
      <c r="B13" s="29">
        <v>45520</v>
      </c>
      <c r="C13" t="s">
        <v>161</v>
      </c>
      <c r="D13" t="s">
        <v>80</v>
      </c>
      <c r="E13">
        <v>10922</v>
      </c>
      <c r="F13" s="50">
        <v>864571.64229999995</v>
      </c>
      <c r="G13" s="50">
        <v>236924.94399999999</v>
      </c>
    </row>
    <row r="14" spans="1:8" x14ac:dyDescent="0.3">
      <c r="A14" t="str">
        <f t="shared" si="0"/>
        <v>45522Kurow Harness Racing Club Inc</v>
      </c>
      <c r="B14" s="29">
        <v>45522</v>
      </c>
      <c r="C14" t="s">
        <v>165</v>
      </c>
      <c r="D14" t="s">
        <v>87</v>
      </c>
      <c r="E14">
        <v>10926</v>
      </c>
      <c r="F14" s="50">
        <v>794239.15369999898</v>
      </c>
      <c r="G14" s="50">
        <v>173828.5236499999</v>
      </c>
    </row>
    <row r="15" spans="1:8" x14ac:dyDescent="0.3">
      <c r="A15" t="str">
        <f t="shared" si="0"/>
        <v>45524Waikato Bay of Plenty Harness Inc</v>
      </c>
      <c r="B15" s="29">
        <v>45524</v>
      </c>
      <c r="C15" t="s">
        <v>162</v>
      </c>
      <c r="D15" t="s">
        <v>84</v>
      </c>
      <c r="E15">
        <v>4888</v>
      </c>
      <c r="F15" s="50">
        <v>279627.22049999901</v>
      </c>
      <c r="G15" s="50">
        <v>56533.826749999906</v>
      </c>
    </row>
    <row r="16" spans="1:8" x14ac:dyDescent="0.3">
      <c r="A16" t="str">
        <f t="shared" si="0"/>
        <v>45526Gore Harness Racing Club Inc</v>
      </c>
      <c r="B16" s="29">
        <v>45526</v>
      </c>
      <c r="C16" t="s">
        <v>166</v>
      </c>
      <c r="D16" t="s">
        <v>88</v>
      </c>
      <c r="E16">
        <v>5924</v>
      </c>
      <c r="F16" s="50">
        <v>356313.6532</v>
      </c>
      <c r="G16" s="50">
        <v>30164.428</v>
      </c>
    </row>
    <row r="17" spans="1:13" x14ac:dyDescent="0.3">
      <c r="A17" t="str">
        <f t="shared" si="0"/>
        <v>45527Auckland Trotting Club Inc</v>
      </c>
      <c r="B17" s="29">
        <v>45527</v>
      </c>
      <c r="C17" t="s">
        <v>160</v>
      </c>
      <c r="D17" t="s">
        <v>78</v>
      </c>
      <c r="E17">
        <v>7696</v>
      </c>
      <c r="F17" s="50">
        <v>498679.08730000001</v>
      </c>
      <c r="G17" s="50">
        <v>-25626.59965</v>
      </c>
      <c r="M17" s="29"/>
    </row>
    <row r="18" spans="1:13" x14ac:dyDescent="0.3">
      <c r="A18" t="str">
        <f t="shared" si="0"/>
        <v>45527NZ Metropolitan Trotting Club Inc</v>
      </c>
      <c r="B18" s="29">
        <v>45527</v>
      </c>
      <c r="C18" t="s">
        <v>161</v>
      </c>
      <c r="D18" t="s">
        <v>80</v>
      </c>
      <c r="E18">
        <v>11553</v>
      </c>
      <c r="F18" s="50">
        <v>930993.23889999907</v>
      </c>
      <c r="G18" s="50">
        <v>43997.683749999902</v>
      </c>
      <c r="M18" s="29"/>
    </row>
    <row r="19" spans="1:13" x14ac:dyDescent="0.3">
      <c r="A19" t="str">
        <f t="shared" si="0"/>
        <v>45529Rangiora Harness Racing Club Inc</v>
      </c>
      <c r="B19" s="29">
        <v>45529</v>
      </c>
      <c r="C19" t="s">
        <v>167</v>
      </c>
      <c r="D19" t="s">
        <v>89</v>
      </c>
      <c r="E19">
        <v>10195</v>
      </c>
      <c r="F19" s="50">
        <v>762844.1335</v>
      </c>
      <c r="G19" s="50">
        <v>114063.3143</v>
      </c>
    </row>
    <row r="20" spans="1:13" x14ac:dyDescent="0.3">
      <c r="A20" t="str">
        <f t="shared" si="0"/>
        <v>45531Waikato Bay of Plenty Harness Inc</v>
      </c>
      <c r="B20" s="29">
        <v>45531</v>
      </c>
      <c r="C20" t="s">
        <v>162</v>
      </c>
      <c r="D20" t="s">
        <v>84</v>
      </c>
      <c r="E20">
        <v>5378</v>
      </c>
      <c r="F20" s="50">
        <v>328751.85449999897</v>
      </c>
      <c r="G20" s="50">
        <v>45106.422449999896</v>
      </c>
    </row>
    <row r="21" spans="1:13" x14ac:dyDescent="0.3">
      <c r="A21" t="str">
        <f t="shared" si="0"/>
        <v>45533Winton Harness Racing Club Inc</v>
      </c>
      <c r="B21" s="29">
        <v>45533</v>
      </c>
      <c r="C21" t="s">
        <v>159</v>
      </c>
      <c r="D21" t="s">
        <v>75</v>
      </c>
      <c r="E21">
        <v>7340</v>
      </c>
      <c r="F21" s="50">
        <v>544006.89540000004</v>
      </c>
      <c r="G21" s="50">
        <v>104242.57865000001</v>
      </c>
    </row>
    <row r="22" spans="1:13" x14ac:dyDescent="0.3">
      <c r="A22" t="str">
        <f t="shared" si="0"/>
        <v>45534Auckland Trotting Club Inc</v>
      </c>
      <c r="B22" s="29">
        <v>45534</v>
      </c>
      <c r="C22" t="s">
        <v>160</v>
      </c>
      <c r="D22" t="s">
        <v>78</v>
      </c>
      <c r="E22">
        <v>8072</v>
      </c>
      <c r="F22" s="50">
        <v>528404.92299999902</v>
      </c>
      <c r="G22" s="50">
        <v>56812.042749999906</v>
      </c>
    </row>
    <row r="23" spans="1:13" x14ac:dyDescent="0.3">
      <c r="A23" t="str">
        <f t="shared" si="0"/>
        <v>45534NZ Metropolitan Trotting Club Inc</v>
      </c>
      <c r="B23" s="29">
        <v>45534</v>
      </c>
      <c r="C23" t="s">
        <v>161</v>
      </c>
      <c r="D23" t="s">
        <v>80</v>
      </c>
      <c r="E23">
        <v>11525</v>
      </c>
      <c r="F23" s="50">
        <v>898383.65890000004</v>
      </c>
      <c r="G23" s="50">
        <v>105416.9736</v>
      </c>
    </row>
    <row r="24" spans="1:13" x14ac:dyDescent="0.3">
      <c r="A24" t="str">
        <f t="shared" si="0"/>
        <v>45536Ashburton Trotting Club Inc</v>
      </c>
      <c r="B24" s="29">
        <v>45536</v>
      </c>
      <c r="C24" t="s">
        <v>164</v>
      </c>
      <c r="D24" t="s">
        <v>86</v>
      </c>
      <c r="E24">
        <v>11405</v>
      </c>
      <c r="F24" s="50">
        <v>1050774.2385999989</v>
      </c>
      <c r="G24" s="50">
        <v>136163.40814999992</v>
      </c>
    </row>
    <row r="25" spans="1:13" x14ac:dyDescent="0.3">
      <c r="A25" t="str">
        <f t="shared" si="0"/>
        <v>45538Waikato Bay of Plenty Harness Inc</v>
      </c>
      <c r="B25" s="29">
        <v>45538</v>
      </c>
      <c r="C25" t="s">
        <v>162</v>
      </c>
      <c r="D25" t="s">
        <v>84</v>
      </c>
      <c r="E25">
        <v>4839</v>
      </c>
      <c r="F25" s="50">
        <v>279893.44779999991</v>
      </c>
      <c r="G25" s="50">
        <v>84233.577899999902</v>
      </c>
    </row>
    <row r="26" spans="1:13" x14ac:dyDescent="0.3">
      <c r="A26" t="str">
        <f t="shared" si="0"/>
        <v>45540Wyndham Harness Racing Club Inc</v>
      </c>
      <c r="B26" s="29">
        <v>45540</v>
      </c>
      <c r="C26" t="s">
        <v>168</v>
      </c>
      <c r="D26" t="s">
        <v>90</v>
      </c>
      <c r="E26">
        <v>6888</v>
      </c>
      <c r="F26" s="50">
        <v>500432.67579999904</v>
      </c>
      <c r="G26" s="50">
        <v>105753.4184499999</v>
      </c>
    </row>
    <row r="27" spans="1:13" x14ac:dyDescent="0.3">
      <c r="A27" t="str">
        <f t="shared" si="0"/>
        <v>45541Auckland Trotting Club Inc</v>
      </c>
      <c r="B27" s="29">
        <v>45541</v>
      </c>
      <c r="C27" t="s">
        <v>160</v>
      </c>
      <c r="D27" t="s">
        <v>78</v>
      </c>
      <c r="E27">
        <v>8295</v>
      </c>
      <c r="F27" s="50">
        <v>610203.59399999899</v>
      </c>
      <c r="G27" s="50">
        <v>140852.97974999988</v>
      </c>
    </row>
    <row r="28" spans="1:13" x14ac:dyDescent="0.3">
      <c r="A28" t="str">
        <f t="shared" si="0"/>
        <v>45541NZ Metropolitan Trotting Club Inc</v>
      </c>
      <c r="B28" s="29">
        <v>45541</v>
      </c>
      <c r="C28" t="s">
        <v>161</v>
      </c>
      <c r="D28" t="s">
        <v>80</v>
      </c>
      <c r="E28">
        <v>12352</v>
      </c>
      <c r="F28" s="50">
        <v>1137902.6997999989</v>
      </c>
      <c r="G28" s="50">
        <v>226827.7478499999</v>
      </c>
    </row>
    <row r="29" spans="1:13" x14ac:dyDescent="0.3">
      <c r="A29" t="str">
        <f t="shared" si="0"/>
        <v>45543Methven Trotting Club Inc</v>
      </c>
      <c r="B29" s="29">
        <v>45543</v>
      </c>
      <c r="C29" t="s">
        <v>169</v>
      </c>
      <c r="D29" t="s">
        <v>91</v>
      </c>
      <c r="E29">
        <v>11874</v>
      </c>
      <c r="F29" s="50">
        <v>1125208.266199999</v>
      </c>
      <c r="G29" s="50">
        <v>262692.98159999901</v>
      </c>
    </row>
    <row r="30" spans="1:13" x14ac:dyDescent="0.3">
      <c r="A30" t="str">
        <f t="shared" si="0"/>
        <v>45545Waikato Bay of Plenty Harness Inc</v>
      </c>
      <c r="B30" s="29">
        <v>45545</v>
      </c>
      <c r="C30" t="s">
        <v>162</v>
      </c>
      <c r="D30" t="s">
        <v>84</v>
      </c>
      <c r="E30">
        <v>5144</v>
      </c>
      <c r="F30" s="50">
        <v>345089.52019999898</v>
      </c>
      <c r="G30" s="50">
        <v>39694.425149999901</v>
      </c>
    </row>
    <row r="31" spans="1:13" x14ac:dyDescent="0.3">
      <c r="A31" t="str">
        <f t="shared" si="0"/>
        <v>45547Invercargill Harness Racing Club Inc</v>
      </c>
      <c r="B31" s="29">
        <v>45547</v>
      </c>
      <c r="C31" t="s">
        <v>163</v>
      </c>
      <c r="D31" t="s">
        <v>85</v>
      </c>
      <c r="E31">
        <v>6299</v>
      </c>
      <c r="F31" s="50">
        <v>398395.21159999899</v>
      </c>
      <c r="G31" s="50">
        <v>105913.01859999989</v>
      </c>
    </row>
    <row r="32" spans="1:13" x14ac:dyDescent="0.3">
      <c r="A32" t="str">
        <f t="shared" si="0"/>
        <v>45548Auckland Trotting Club Inc</v>
      </c>
      <c r="B32" s="29">
        <v>45548</v>
      </c>
      <c r="C32" t="s">
        <v>160</v>
      </c>
      <c r="D32" t="s">
        <v>78</v>
      </c>
      <c r="E32">
        <v>9019</v>
      </c>
      <c r="F32" s="50">
        <v>681810.86179999902</v>
      </c>
      <c r="G32" s="50">
        <v>99010.210649999906</v>
      </c>
    </row>
    <row r="33" spans="1:7" x14ac:dyDescent="0.3">
      <c r="A33" t="str">
        <f t="shared" si="0"/>
        <v>45548NZ Metropolitan Trotting Club Inc</v>
      </c>
      <c r="B33" s="29">
        <v>45548</v>
      </c>
      <c r="C33" t="s">
        <v>161</v>
      </c>
      <c r="D33" t="s">
        <v>80</v>
      </c>
      <c r="E33">
        <v>11880</v>
      </c>
      <c r="F33" s="50">
        <v>974535.363799999</v>
      </c>
      <c r="G33" s="50">
        <v>29968.378999999906</v>
      </c>
    </row>
    <row r="34" spans="1:7" x14ac:dyDescent="0.3">
      <c r="A34" t="str">
        <f t="shared" si="0"/>
        <v>45550Oamaru Harness Racing Club Inc</v>
      </c>
      <c r="B34" s="29">
        <v>45550</v>
      </c>
      <c r="C34" t="s">
        <v>165</v>
      </c>
      <c r="D34" t="s">
        <v>92</v>
      </c>
      <c r="E34">
        <v>11814</v>
      </c>
      <c r="F34" s="50">
        <v>909787.23679999902</v>
      </c>
      <c r="G34" s="50">
        <v>182987.90684999991</v>
      </c>
    </row>
    <row r="35" spans="1:7" x14ac:dyDescent="0.3">
      <c r="A35" t="str">
        <f t="shared" si="0"/>
        <v>45552Waikato Bay of Plenty Harness Inc</v>
      </c>
      <c r="B35" s="29">
        <v>45552</v>
      </c>
      <c r="C35" t="s">
        <v>162</v>
      </c>
      <c r="D35" t="s">
        <v>84</v>
      </c>
      <c r="E35">
        <v>4575</v>
      </c>
      <c r="F35" s="50">
        <v>283952.36459999997</v>
      </c>
      <c r="G35" s="50">
        <v>63330.1705</v>
      </c>
    </row>
    <row r="36" spans="1:7" x14ac:dyDescent="0.3">
      <c r="A36" t="str">
        <f t="shared" si="0"/>
        <v>45554Winton Harness Racing Club Inc</v>
      </c>
      <c r="B36" s="29">
        <v>45554</v>
      </c>
      <c r="C36" t="s">
        <v>159</v>
      </c>
      <c r="D36" t="s">
        <v>75</v>
      </c>
      <c r="E36">
        <v>7599</v>
      </c>
      <c r="F36" s="50">
        <v>546736.75909999898</v>
      </c>
      <c r="G36" s="50">
        <v>170444.53629999989</v>
      </c>
    </row>
    <row r="37" spans="1:7" x14ac:dyDescent="0.3">
      <c r="A37" t="str">
        <f t="shared" si="0"/>
        <v>45555NZ Metropolitan Trotting Club Inc</v>
      </c>
      <c r="B37" s="29">
        <v>45555</v>
      </c>
      <c r="C37" t="s">
        <v>161</v>
      </c>
      <c r="D37" t="s">
        <v>80</v>
      </c>
      <c r="E37">
        <v>12270</v>
      </c>
      <c r="F37" s="50">
        <v>1229425.1104000001</v>
      </c>
      <c r="G37" s="50">
        <v>303817.14425000001</v>
      </c>
    </row>
    <row r="38" spans="1:7" x14ac:dyDescent="0.3">
      <c r="A38" t="str">
        <f t="shared" si="0"/>
        <v>45556Auckland Trotting Club Inc</v>
      </c>
      <c r="B38" s="29">
        <v>45556</v>
      </c>
      <c r="C38" t="s">
        <v>160</v>
      </c>
      <c r="D38" t="s">
        <v>78</v>
      </c>
      <c r="E38">
        <v>7567</v>
      </c>
      <c r="F38" s="50">
        <v>586536.34679999901</v>
      </c>
      <c r="G38" s="50">
        <v>124526.52289999991</v>
      </c>
    </row>
    <row r="39" spans="1:7" x14ac:dyDescent="0.3">
      <c r="A39" t="str">
        <f t="shared" si="0"/>
        <v>45557Banks Peninsula Trotting Club Inc</v>
      </c>
      <c r="B39" s="29">
        <v>45557</v>
      </c>
      <c r="C39" t="s">
        <v>170</v>
      </c>
      <c r="D39" t="s">
        <v>94</v>
      </c>
      <c r="E39">
        <v>12664</v>
      </c>
      <c r="F39" s="50">
        <v>1127528.5573999989</v>
      </c>
      <c r="G39" s="50">
        <v>159368.23659999901</v>
      </c>
    </row>
    <row r="40" spans="1:7" x14ac:dyDescent="0.3">
      <c r="A40" t="str">
        <f t="shared" si="0"/>
        <v>45559Waikato Bay of Plenty Harness Inc</v>
      </c>
      <c r="B40" s="29">
        <v>45559</v>
      </c>
      <c r="C40" t="s">
        <v>162</v>
      </c>
      <c r="D40" t="s">
        <v>84</v>
      </c>
      <c r="E40">
        <v>5655</v>
      </c>
      <c r="F40" s="50">
        <v>364258.04159999901</v>
      </c>
      <c r="G40" s="50">
        <v>11911.109449999898</v>
      </c>
    </row>
    <row r="41" spans="1:7" x14ac:dyDescent="0.3">
      <c r="A41" t="str">
        <f t="shared" si="0"/>
        <v>45561Gore Harness Racing Club Inc</v>
      </c>
      <c r="B41" s="29">
        <v>45561</v>
      </c>
      <c r="C41" t="s">
        <v>166</v>
      </c>
      <c r="D41" t="s">
        <v>88</v>
      </c>
      <c r="E41">
        <v>8396</v>
      </c>
      <c r="F41" s="50">
        <v>582011.30999999901</v>
      </c>
      <c r="G41" s="50">
        <v>110902.1748999999</v>
      </c>
    </row>
    <row r="42" spans="1:7" x14ac:dyDescent="0.3">
      <c r="A42" t="str">
        <f t="shared" si="0"/>
        <v>45562Auckland Trotting Club Inc</v>
      </c>
      <c r="B42" s="29">
        <v>45562</v>
      </c>
      <c r="C42" t="s">
        <v>160</v>
      </c>
      <c r="D42" t="s">
        <v>78</v>
      </c>
      <c r="E42">
        <v>8406</v>
      </c>
      <c r="F42" s="50">
        <v>593707.21209999896</v>
      </c>
      <c r="G42" s="50">
        <v>90669.065849999897</v>
      </c>
    </row>
    <row r="43" spans="1:7" x14ac:dyDescent="0.3">
      <c r="A43" t="str">
        <f t="shared" si="0"/>
        <v>45562NZ Metropolitan Trotting Club Inc</v>
      </c>
      <c r="B43" s="29">
        <v>45562</v>
      </c>
      <c r="C43" t="s">
        <v>161</v>
      </c>
      <c r="D43" t="s">
        <v>80</v>
      </c>
      <c r="E43">
        <v>13517</v>
      </c>
      <c r="F43" s="50">
        <v>1193623.650699999</v>
      </c>
      <c r="G43" s="50">
        <v>151826.8330499999</v>
      </c>
    </row>
    <row r="44" spans="1:7" x14ac:dyDescent="0.3">
      <c r="A44" t="str">
        <f t="shared" si="0"/>
        <v>45564Timaru Harness Racing Club Inc</v>
      </c>
      <c r="B44" s="29">
        <v>45564</v>
      </c>
      <c r="C44" t="s">
        <v>171</v>
      </c>
      <c r="D44" t="s">
        <v>95</v>
      </c>
      <c r="E44">
        <v>12605</v>
      </c>
      <c r="F44" s="50">
        <v>1212635.045799999</v>
      </c>
      <c r="G44" s="50">
        <v>296879.559249999</v>
      </c>
    </row>
    <row r="45" spans="1:7" x14ac:dyDescent="0.3">
      <c r="A45" t="str">
        <f t="shared" si="0"/>
        <v>45566Waikato Bay of Plenty Harness Inc</v>
      </c>
      <c r="B45" s="29">
        <v>45566</v>
      </c>
      <c r="C45" t="s">
        <v>162</v>
      </c>
      <c r="D45" t="s">
        <v>84</v>
      </c>
      <c r="E45">
        <v>5344</v>
      </c>
      <c r="F45" s="50">
        <v>331863.57119999896</v>
      </c>
      <c r="G45" s="50">
        <v>70150.3011999999</v>
      </c>
    </row>
    <row r="46" spans="1:7" x14ac:dyDescent="0.3">
      <c r="A46" t="str">
        <f t="shared" si="0"/>
        <v>45568NZ Metropolitan Trotting Club Inc</v>
      </c>
      <c r="B46" s="29">
        <v>45568</v>
      </c>
      <c r="C46" t="s">
        <v>161</v>
      </c>
      <c r="D46" t="s">
        <v>80</v>
      </c>
      <c r="E46">
        <v>11511</v>
      </c>
      <c r="F46" s="50">
        <v>1258242.7060999989</v>
      </c>
      <c r="G46" s="50">
        <v>68239.414999999906</v>
      </c>
    </row>
    <row r="47" spans="1:7" x14ac:dyDescent="0.3">
      <c r="A47" t="str">
        <f t="shared" si="0"/>
        <v>45569Wyndham Harness Racing Club Inc</v>
      </c>
      <c r="B47" s="29">
        <v>45569</v>
      </c>
      <c r="C47" t="s">
        <v>168</v>
      </c>
      <c r="D47" t="s">
        <v>90</v>
      </c>
      <c r="E47">
        <v>7991</v>
      </c>
      <c r="F47" s="50">
        <v>530592.18549999897</v>
      </c>
      <c r="G47" s="50">
        <v>173319.47489999991</v>
      </c>
    </row>
    <row r="48" spans="1:7" x14ac:dyDescent="0.3">
      <c r="A48" t="str">
        <f t="shared" si="0"/>
        <v>45569Auckland Trotting Club Inc</v>
      </c>
      <c r="B48" s="29">
        <v>45569</v>
      </c>
      <c r="C48" t="s">
        <v>160</v>
      </c>
      <c r="D48" t="s">
        <v>78</v>
      </c>
      <c r="E48">
        <v>10156</v>
      </c>
      <c r="F48" s="50">
        <v>804044.20319999999</v>
      </c>
      <c r="G48" s="50">
        <v>150005.7353</v>
      </c>
    </row>
    <row r="49" spans="1:7" x14ac:dyDescent="0.3">
      <c r="A49" t="str">
        <f t="shared" si="0"/>
        <v>45571Methven Trotting Club Inc</v>
      </c>
      <c r="B49" s="29">
        <v>45571</v>
      </c>
      <c r="C49" t="s">
        <v>169</v>
      </c>
      <c r="D49" t="s">
        <v>91</v>
      </c>
      <c r="E49">
        <v>14775</v>
      </c>
      <c r="F49" s="50">
        <v>1807526.9105999991</v>
      </c>
      <c r="G49" s="50">
        <v>564335.17044999904</v>
      </c>
    </row>
    <row r="50" spans="1:7" x14ac:dyDescent="0.3">
      <c r="A50" t="str">
        <f t="shared" si="0"/>
        <v>45573Waikato Bay of Plenty Harness Inc</v>
      </c>
      <c r="B50" s="29">
        <v>45573</v>
      </c>
      <c r="C50" t="s">
        <v>162</v>
      </c>
      <c r="D50" t="s">
        <v>84</v>
      </c>
      <c r="E50">
        <v>5298</v>
      </c>
      <c r="F50" s="50">
        <v>353397.33359999902</v>
      </c>
      <c r="G50" s="50">
        <v>64622.7573999999</v>
      </c>
    </row>
    <row r="51" spans="1:7" x14ac:dyDescent="0.3">
      <c r="A51" t="str">
        <f t="shared" si="0"/>
        <v>45574NZ Metropolitan Trotting Club Inc</v>
      </c>
      <c r="B51" s="29">
        <v>45574</v>
      </c>
      <c r="C51" t="s">
        <v>161</v>
      </c>
      <c r="D51" t="s">
        <v>80</v>
      </c>
      <c r="E51">
        <v>7457</v>
      </c>
      <c r="F51" s="50">
        <v>485279.23699999903</v>
      </c>
      <c r="G51" s="50">
        <v>88650.8875999999</v>
      </c>
    </row>
    <row r="52" spans="1:7" x14ac:dyDescent="0.3">
      <c r="A52" t="str">
        <f t="shared" si="0"/>
        <v>45575Northern Southland Trotting Club Inc</v>
      </c>
      <c r="B52" s="29">
        <v>45575</v>
      </c>
      <c r="C52" t="s">
        <v>163</v>
      </c>
      <c r="D52" t="s">
        <v>97</v>
      </c>
      <c r="E52">
        <v>7757</v>
      </c>
      <c r="F52" s="50">
        <v>569221.33449999895</v>
      </c>
      <c r="G52" s="50">
        <v>159046.6374999999</v>
      </c>
    </row>
    <row r="53" spans="1:7" x14ac:dyDescent="0.3">
      <c r="A53" t="str">
        <f t="shared" si="0"/>
        <v>45576Auckland Trotting Club Inc</v>
      </c>
      <c r="B53" s="29">
        <v>45576</v>
      </c>
      <c r="C53" t="s">
        <v>160</v>
      </c>
      <c r="D53" t="s">
        <v>78</v>
      </c>
      <c r="E53">
        <v>7655</v>
      </c>
      <c r="F53" s="50">
        <v>442587.73620000004</v>
      </c>
      <c r="G53" s="50">
        <v>116468.35274999999</v>
      </c>
    </row>
    <row r="54" spans="1:7" x14ac:dyDescent="0.3">
      <c r="A54" t="str">
        <f t="shared" si="0"/>
        <v>45576NZ Metropolitan Trotting Club Inc</v>
      </c>
      <c r="B54" s="29">
        <v>45576</v>
      </c>
      <c r="C54" t="s">
        <v>161</v>
      </c>
      <c r="D54" t="s">
        <v>80</v>
      </c>
      <c r="E54">
        <v>15738</v>
      </c>
      <c r="F54" s="50">
        <v>1591741.4838999989</v>
      </c>
      <c r="G54" s="50">
        <v>116763.43524999901</v>
      </c>
    </row>
    <row r="55" spans="1:7" x14ac:dyDescent="0.3">
      <c r="A55" t="str">
        <f t="shared" si="0"/>
        <v>45578Oamaru Harness Racing Club Inc</v>
      </c>
      <c r="B55" s="29">
        <v>45578</v>
      </c>
      <c r="C55" t="s">
        <v>165</v>
      </c>
      <c r="D55" t="s">
        <v>92</v>
      </c>
      <c r="E55">
        <v>12634</v>
      </c>
      <c r="F55" s="50">
        <v>1158773.278699999</v>
      </c>
      <c r="G55" s="50">
        <v>228372.5308999999</v>
      </c>
    </row>
    <row r="56" spans="1:7" x14ac:dyDescent="0.3">
      <c r="A56" t="str">
        <f t="shared" si="0"/>
        <v>45580Waikato Bay of Plenty Harness Inc</v>
      </c>
      <c r="B56" s="29">
        <v>45580</v>
      </c>
      <c r="C56" t="s">
        <v>162</v>
      </c>
      <c r="D56" t="s">
        <v>84</v>
      </c>
      <c r="E56">
        <v>5874</v>
      </c>
      <c r="F56" s="50">
        <v>376456.47829999903</v>
      </c>
      <c r="G56" s="50">
        <v>97643.789999999892</v>
      </c>
    </row>
    <row r="57" spans="1:7" x14ac:dyDescent="0.3">
      <c r="A57" t="str">
        <f t="shared" si="0"/>
        <v>45581NZ Metropolitan Trotting Club Inc</v>
      </c>
      <c r="B57" s="29">
        <v>45581</v>
      </c>
      <c r="C57" t="s">
        <v>161</v>
      </c>
      <c r="D57" t="s">
        <v>80</v>
      </c>
      <c r="E57">
        <v>7510</v>
      </c>
      <c r="F57" s="50">
        <v>449420.30699999898</v>
      </c>
      <c r="G57" s="50">
        <v>52073.328099999897</v>
      </c>
    </row>
    <row r="58" spans="1:7" x14ac:dyDescent="0.3">
      <c r="A58" t="str">
        <f t="shared" si="0"/>
        <v>45583Auckland Trotting Club Inc</v>
      </c>
      <c r="B58" s="29">
        <v>45583</v>
      </c>
      <c r="C58" t="s">
        <v>160</v>
      </c>
      <c r="D58" t="s">
        <v>78</v>
      </c>
      <c r="E58">
        <v>8956</v>
      </c>
      <c r="F58" s="50">
        <v>606300.94519999903</v>
      </c>
      <c r="G58" s="50">
        <v>139492.35234999988</v>
      </c>
    </row>
    <row r="59" spans="1:7" x14ac:dyDescent="0.3">
      <c r="A59" t="str">
        <f t="shared" si="0"/>
        <v>45583NZ Metropolitan Trotting Club Inc</v>
      </c>
      <c r="B59" s="29">
        <v>45583</v>
      </c>
      <c r="C59" t="s">
        <v>161</v>
      </c>
      <c r="D59" t="s">
        <v>80</v>
      </c>
      <c r="E59">
        <v>13742</v>
      </c>
      <c r="F59" s="50">
        <v>1319582.035799999</v>
      </c>
      <c r="G59" s="50">
        <v>188134.27154999989</v>
      </c>
    </row>
    <row r="60" spans="1:7" x14ac:dyDescent="0.3">
      <c r="A60" t="str">
        <f t="shared" si="0"/>
        <v>45585Invercargill Harness Racing Club Inc</v>
      </c>
      <c r="B60" s="29">
        <v>45585</v>
      </c>
      <c r="C60" t="s">
        <v>163</v>
      </c>
      <c r="D60" t="s">
        <v>85</v>
      </c>
      <c r="E60">
        <v>10196</v>
      </c>
      <c r="F60" s="50">
        <v>677652.66939999908</v>
      </c>
      <c r="G60" s="50">
        <v>143605.8471499999</v>
      </c>
    </row>
    <row r="61" spans="1:7" x14ac:dyDescent="0.3">
      <c r="A61" t="str">
        <f t="shared" si="0"/>
        <v>45587Waikato Bay of Plenty Harness Inc</v>
      </c>
      <c r="B61" s="29">
        <v>45587</v>
      </c>
      <c r="C61" t="s">
        <v>162</v>
      </c>
      <c r="D61" t="s">
        <v>84</v>
      </c>
      <c r="E61">
        <v>5411</v>
      </c>
      <c r="F61" s="50">
        <v>320150.28760000004</v>
      </c>
      <c r="G61" s="50">
        <v>43728.097099999999</v>
      </c>
    </row>
    <row r="62" spans="1:7" x14ac:dyDescent="0.3">
      <c r="A62" t="str">
        <f t="shared" si="0"/>
        <v>45588NZ Metropolitan Trotting Club Inc</v>
      </c>
      <c r="B62" s="29">
        <v>45588</v>
      </c>
      <c r="C62" t="s">
        <v>161</v>
      </c>
      <c r="D62" t="s">
        <v>80</v>
      </c>
      <c r="E62">
        <v>7641</v>
      </c>
      <c r="F62" s="50">
        <v>547484.89749999903</v>
      </c>
      <c r="G62" s="50">
        <v>120215.0947999999</v>
      </c>
    </row>
    <row r="63" spans="1:7" x14ac:dyDescent="0.3">
      <c r="A63" t="str">
        <f t="shared" si="0"/>
        <v>45590Auckland Trotting Club Inc</v>
      </c>
      <c r="B63" s="29">
        <v>45590</v>
      </c>
      <c r="C63" t="s">
        <v>160</v>
      </c>
      <c r="D63" t="s">
        <v>78</v>
      </c>
      <c r="E63">
        <v>9906</v>
      </c>
      <c r="F63" s="50">
        <v>833473.83779999905</v>
      </c>
      <c r="G63" s="50">
        <v>130126.70149999989</v>
      </c>
    </row>
    <row r="64" spans="1:7" x14ac:dyDescent="0.3">
      <c r="A64" t="str">
        <f t="shared" si="0"/>
        <v>45590NZ Metropolitan Trotting Club Inc</v>
      </c>
      <c r="B64" s="29">
        <v>45590</v>
      </c>
      <c r="C64" t="s">
        <v>161</v>
      </c>
      <c r="D64" t="s">
        <v>80</v>
      </c>
      <c r="E64">
        <v>13506</v>
      </c>
      <c r="F64" s="50">
        <v>1212449.7743000002</v>
      </c>
      <c r="G64" s="50">
        <v>115020.19009999999</v>
      </c>
    </row>
    <row r="65" spans="1:7" x14ac:dyDescent="0.3">
      <c r="A65" t="str">
        <f t="shared" si="0"/>
        <v>45592Tuapeka Harness Racing Club Inc</v>
      </c>
      <c r="B65" s="29">
        <v>45592</v>
      </c>
      <c r="C65" t="s">
        <v>163</v>
      </c>
      <c r="D65" t="s">
        <v>98</v>
      </c>
      <c r="E65">
        <v>11564</v>
      </c>
      <c r="F65" s="50">
        <v>789759.60539999895</v>
      </c>
      <c r="G65" s="50">
        <v>197184.07164999988</v>
      </c>
    </row>
    <row r="66" spans="1:7" x14ac:dyDescent="0.3">
      <c r="A66" t="str">
        <f t="shared" si="0"/>
        <v>45593Ashburton Trotting Club Inc</v>
      </c>
      <c r="B66" s="29">
        <v>45593</v>
      </c>
      <c r="C66" t="s">
        <v>164</v>
      </c>
      <c r="D66" t="s">
        <v>86</v>
      </c>
      <c r="E66">
        <v>17139</v>
      </c>
      <c r="F66" s="50">
        <v>1773581.3318999989</v>
      </c>
      <c r="G66" s="50">
        <v>481896.050099999</v>
      </c>
    </row>
    <row r="67" spans="1:7" x14ac:dyDescent="0.3">
      <c r="A67" t="str">
        <f t="shared" ref="A67:A130" si="1">B67&amp;D67</f>
        <v>45594Waikato Bay of Plenty Harness Inc</v>
      </c>
      <c r="B67" s="29">
        <v>45594</v>
      </c>
      <c r="C67" t="s">
        <v>162</v>
      </c>
      <c r="D67" t="s">
        <v>84</v>
      </c>
      <c r="E67">
        <v>5234</v>
      </c>
      <c r="F67" s="50">
        <v>339689.57289999898</v>
      </c>
      <c r="G67" s="50">
        <v>91664.327499999898</v>
      </c>
    </row>
    <row r="68" spans="1:7" x14ac:dyDescent="0.3">
      <c r="A68" t="str">
        <f t="shared" si="1"/>
        <v>45596Winton Harness Racing Club Inc</v>
      </c>
      <c r="B68" s="29">
        <v>45596</v>
      </c>
      <c r="C68" t="s">
        <v>159</v>
      </c>
      <c r="D68" t="s">
        <v>75</v>
      </c>
      <c r="E68">
        <v>7624</v>
      </c>
      <c r="F68" s="50">
        <v>589061.80649999902</v>
      </c>
      <c r="G68" s="50">
        <v>153221.0536999999</v>
      </c>
    </row>
    <row r="69" spans="1:7" x14ac:dyDescent="0.3">
      <c r="A69" t="str">
        <f t="shared" si="1"/>
        <v>45597Auckland Trotting Club Inc</v>
      </c>
      <c r="B69" s="29">
        <v>45597</v>
      </c>
      <c r="C69" t="s">
        <v>160</v>
      </c>
      <c r="D69" t="s">
        <v>78</v>
      </c>
      <c r="E69">
        <v>9681</v>
      </c>
      <c r="F69" s="50">
        <v>735646.86389999907</v>
      </c>
      <c r="G69" s="50">
        <v>155276.46894999989</v>
      </c>
    </row>
    <row r="70" spans="1:7" x14ac:dyDescent="0.3">
      <c r="A70" t="str">
        <f t="shared" si="1"/>
        <v>45597Methven Trotting Club Inc</v>
      </c>
      <c r="B70" s="29">
        <v>45597</v>
      </c>
      <c r="C70" t="s">
        <v>169</v>
      </c>
      <c r="D70" t="s">
        <v>91</v>
      </c>
      <c r="E70">
        <v>10910</v>
      </c>
      <c r="F70" s="50">
        <v>824201.33809999889</v>
      </c>
      <c r="G70" s="50">
        <v>241078.54139999987</v>
      </c>
    </row>
    <row r="71" spans="1:7" x14ac:dyDescent="0.3">
      <c r="A71" t="str">
        <f t="shared" si="1"/>
        <v>45599Kaikoura Trotting Club Inc</v>
      </c>
      <c r="B71" s="29">
        <v>45599</v>
      </c>
      <c r="C71" t="s">
        <v>172</v>
      </c>
      <c r="D71" t="s">
        <v>100</v>
      </c>
      <c r="E71">
        <v>10975</v>
      </c>
      <c r="F71" s="50">
        <v>842725.01380000007</v>
      </c>
      <c r="G71" s="50">
        <v>231225.54810000001</v>
      </c>
    </row>
    <row r="72" spans="1:7" x14ac:dyDescent="0.3">
      <c r="A72" t="str">
        <f t="shared" si="1"/>
        <v>45600Manawatu Harness Racing Club Inc</v>
      </c>
      <c r="B72" s="29">
        <v>45600</v>
      </c>
      <c r="C72" t="s">
        <v>173</v>
      </c>
      <c r="D72" t="s">
        <v>101</v>
      </c>
      <c r="E72">
        <v>4404</v>
      </c>
      <c r="F72" s="50">
        <v>244134.8905999999</v>
      </c>
      <c r="G72" s="50">
        <v>14671.255199999901</v>
      </c>
    </row>
    <row r="73" spans="1:7" x14ac:dyDescent="0.3">
      <c r="A73" t="str">
        <f t="shared" si="1"/>
        <v>45600Kaikoura Trotting Club Inc</v>
      </c>
      <c r="B73" s="29">
        <v>45600</v>
      </c>
      <c r="C73" t="s">
        <v>172</v>
      </c>
      <c r="D73" t="s">
        <v>100</v>
      </c>
      <c r="E73">
        <v>14176</v>
      </c>
      <c r="F73" s="50">
        <v>1510222.3742</v>
      </c>
      <c r="G73" s="50">
        <v>262531.34215000004</v>
      </c>
    </row>
    <row r="74" spans="1:7" x14ac:dyDescent="0.3">
      <c r="A74" t="str">
        <f t="shared" si="1"/>
        <v>45603Oamaru Harness Racing Club Inc</v>
      </c>
      <c r="B74" s="29">
        <v>45603</v>
      </c>
      <c r="C74" t="s">
        <v>165</v>
      </c>
      <c r="D74" t="s">
        <v>92</v>
      </c>
      <c r="E74">
        <v>8437</v>
      </c>
      <c r="F74" s="50">
        <v>500547.08409999998</v>
      </c>
      <c r="G74" s="50">
        <v>114317.38975</v>
      </c>
    </row>
    <row r="75" spans="1:7" x14ac:dyDescent="0.3">
      <c r="A75" t="str">
        <f t="shared" si="1"/>
        <v>45604Auckland Trotting Club Inc</v>
      </c>
      <c r="B75" s="29">
        <v>45604</v>
      </c>
      <c r="C75" t="s">
        <v>160</v>
      </c>
      <c r="D75" t="s">
        <v>78</v>
      </c>
      <c r="E75">
        <v>9921</v>
      </c>
      <c r="F75" s="50">
        <v>697463.51339999994</v>
      </c>
      <c r="G75" s="50">
        <v>132555.9106</v>
      </c>
    </row>
    <row r="76" spans="1:7" x14ac:dyDescent="0.3">
      <c r="A76" t="str">
        <f t="shared" si="1"/>
        <v>45604Rangiora Harness Racing Club Inc</v>
      </c>
      <c r="B76" s="29">
        <v>45604</v>
      </c>
      <c r="C76" t="s">
        <v>167</v>
      </c>
      <c r="D76" t="s">
        <v>89</v>
      </c>
      <c r="E76">
        <v>10664</v>
      </c>
      <c r="F76" s="50">
        <v>779430.56139999896</v>
      </c>
      <c r="G76" s="50">
        <v>136220.7460999999</v>
      </c>
    </row>
    <row r="77" spans="1:7" x14ac:dyDescent="0.3">
      <c r="A77" t="str">
        <f t="shared" si="1"/>
        <v>45606Wyndham Harness Racing Club Inc</v>
      </c>
      <c r="B77" s="29">
        <v>45606</v>
      </c>
      <c r="C77" t="s">
        <v>168</v>
      </c>
      <c r="D77" t="s">
        <v>90</v>
      </c>
      <c r="E77">
        <v>11283</v>
      </c>
      <c r="F77" s="50">
        <v>787181.659099999</v>
      </c>
      <c r="G77" s="50">
        <v>192229.70529999991</v>
      </c>
    </row>
    <row r="78" spans="1:7" x14ac:dyDescent="0.3">
      <c r="A78" t="str">
        <f t="shared" si="1"/>
        <v>45607Manawatu Harness Racing Club Inc</v>
      </c>
      <c r="B78" s="29">
        <v>45607</v>
      </c>
      <c r="C78" t="s">
        <v>173</v>
      </c>
      <c r="D78" t="s">
        <v>101</v>
      </c>
      <c r="E78">
        <v>3970</v>
      </c>
      <c r="F78" s="50">
        <v>205334.85469999991</v>
      </c>
      <c r="G78" s="50">
        <v>43095.024599999902</v>
      </c>
    </row>
    <row r="79" spans="1:7" x14ac:dyDescent="0.3">
      <c r="A79" t="str">
        <f t="shared" si="1"/>
        <v>45608NZ Metropolitan Trotting Club Inc</v>
      </c>
      <c r="B79" s="29">
        <v>45608</v>
      </c>
      <c r="C79" t="s">
        <v>161</v>
      </c>
      <c r="D79" t="s">
        <v>80</v>
      </c>
      <c r="E79">
        <v>48887</v>
      </c>
      <c r="F79" s="50">
        <v>7278973.1018000003</v>
      </c>
      <c r="G79" s="50">
        <v>1474208.9572000001</v>
      </c>
    </row>
    <row r="80" spans="1:7" x14ac:dyDescent="0.3">
      <c r="A80" t="str">
        <f t="shared" si="1"/>
        <v>45610Ashburton Trotting Club Inc</v>
      </c>
      <c r="B80" s="29">
        <v>45610</v>
      </c>
      <c r="C80" t="s">
        <v>164</v>
      </c>
      <c r="D80" t="s">
        <v>86</v>
      </c>
      <c r="E80">
        <v>15976</v>
      </c>
      <c r="F80" s="50">
        <v>1684629.3484999998</v>
      </c>
      <c r="G80" s="50">
        <v>243068.51835000003</v>
      </c>
    </row>
    <row r="81" spans="1:7" x14ac:dyDescent="0.3">
      <c r="A81" t="str">
        <f t="shared" si="1"/>
        <v>45611Waikato Bay of Plenty Harness Inc</v>
      </c>
      <c r="B81" s="29">
        <v>45611</v>
      </c>
      <c r="C81" t="s">
        <v>162</v>
      </c>
      <c r="D81" t="s">
        <v>84</v>
      </c>
      <c r="E81">
        <v>10949</v>
      </c>
      <c r="F81" s="50">
        <v>762172.52199999895</v>
      </c>
      <c r="G81" s="50">
        <v>90412.226849999905</v>
      </c>
    </row>
    <row r="82" spans="1:7" x14ac:dyDescent="0.3">
      <c r="A82" t="str">
        <f t="shared" si="1"/>
        <v>45611NZ Metropolitan Trotting Club Inc</v>
      </c>
      <c r="B82" s="29">
        <v>45611</v>
      </c>
      <c r="C82" t="s">
        <v>161</v>
      </c>
      <c r="D82" t="s">
        <v>80</v>
      </c>
      <c r="E82">
        <v>28637</v>
      </c>
      <c r="F82" s="50">
        <v>4313630.6137999995</v>
      </c>
      <c r="G82" s="50">
        <v>1454927.2764999999</v>
      </c>
    </row>
    <row r="83" spans="1:7" x14ac:dyDescent="0.3">
      <c r="A83" t="str">
        <f t="shared" si="1"/>
        <v>45613Winton Harness Racing Club Inc</v>
      </c>
      <c r="B83" s="29">
        <v>45613</v>
      </c>
      <c r="C83" t="s">
        <v>159</v>
      </c>
      <c r="D83" t="s">
        <v>75</v>
      </c>
      <c r="E83">
        <v>9946</v>
      </c>
      <c r="F83" s="50">
        <v>589543.3517</v>
      </c>
      <c r="G83" s="50">
        <v>75475.027849999999</v>
      </c>
    </row>
    <row r="84" spans="1:7" x14ac:dyDescent="0.3">
      <c r="A84" t="str">
        <f t="shared" si="1"/>
        <v>45615Manawatu Harness Racing Club Inc</v>
      </c>
      <c r="B84" s="29">
        <v>45615</v>
      </c>
      <c r="C84" t="s">
        <v>173</v>
      </c>
      <c r="D84" t="s">
        <v>101</v>
      </c>
      <c r="E84">
        <v>5565</v>
      </c>
      <c r="F84" s="50">
        <v>337402.36229999899</v>
      </c>
      <c r="G84" s="50">
        <v>103491.86779999989</v>
      </c>
    </row>
    <row r="85" spans="1:7" x14ac:dyDescent="0.3">
      <c r="A85" t="str">
        <f t="shared" si="1"/>
        <v>45616Rangiora Harness Racing Club Inc</v>
      </c>
      <c r="B85" s="29">
        <v>45616</v>
      </c>
      <c r="C85" t="s">
        <v>167</v>
      </c>
      <c r="D85" t="s">
        <v>89</v>
      </c>
      <c r="E85">
        <v>8258</v>
      </c>
      <c r="F85" s="50">
        <v>497194.37409999903</v>
      </c>
      <c r="G85" s="50">
        <v>-20092.295800000102</v>
      </c>
    </row>
    <row r="86" spans="1:7" x14ac:dyDescent="0.3">
      <c r="A86" t="str">
        <f t="shared" si="1"/>
        <v>45617Manawatu Harness Racing Club Inc</v>
      </c>
      <c r="B86" s="29">
        <v>45617</v>
      </c>
      <c r="C86" t="s">
        <v>173</v>
      </c>
      <c r="D86" t="s">
        <v>101</v>
      </c>
      <c r="E86">
        <v>5900</v>
      </c>
      <c r="F86" s="50">
        <v>358861.7194</v>
      </c>
      <c r="G86" s="50">
        <v>32902.509250000003</v>
      </c>
    </row>
    <row r="87" spans="1:7" x14ac:dyDescent="0.3">
      <c r="A87" t="str">
        <f t="shared" si="1"/>
        <v>45618Invercargill Harness Racing Club Inc</v>
      </c>
      <c r="B87" s="29">
        <v>45618</v>
      </c>
      <c r="C87" t="s">
        <v>163</v>
      </c>
      <c r="D87" t="s">
        <v>85</v>
      </c>
      <c r="E87">
        <v>9635</v>
      </c>
      <c r="F87" s="50">
        <v>650121.87939999998</v>
      </c>
      <c r="G87" s="50">
        <v>82131.831749999998</v>
      </c>
    </row>
    <row r="88" spans="1:7" x14ac:dyDescent="0.3">
      <c r="A88" t="str">
        <f t="shared" si="1"/>
        <v>45618Auckland Trotting Club Inc</v>
      </c>
      <c r="B88" s="29">
        <v>45618</v>
      </c>
      <c r="C88" t="s">
        <v>160</v>
      </c>
      <c r="D88" t="s">
        <v>78</v>
      </c>
      <c r="E88">
        <v>11099</v>
      </c>
      <c r="F88" s="50">
        <v>865107.24739999906</v>
      </c>
      <c r="G88" s="50">
        <v>132033.20839999992</v>
      </c>
    </row>
    <row r="89" spans="1:7" x14ac:dyDescent="0.3">
      <c r="A89" t="str">
        <f t="shared" si="1"/>
        <v>45619Timaru Harness Racing Club Inc</v>
      </c>
      <c r="B89" s="29">
        <v>45619</v>
      </c>
      <c r="C89" t="s">
        <v>171</v>
      </c>
      <c r="D89" t="s">
        <v>95</v>
      </c>
      <c r="E89">
        <v>9946</v>
      </c>
      <c r="F89" s="50">
        <v>689722.445899999</v>
      </c>
      <c r="G89" s="50">
        <v>22533.961249999906</v>
      </c>
    </row>
    <row r="90" spans="1:7" x14ac:dyDescent="0.3">
      <c r="A90" t="str">
        <f t="shared" si="1"/>
        <v>45620Banks Peninsula Trotting Club Inc</v>
      </c>
      <c r="B90" s="29">
        <v>45620</v>
      </c>
      <c r="C90" t="s">
        <v>170</v>
      </c>
      <c r="D90" t="s">
        <v>94</v>
      </c>
      <c r="E90">
        <v>12366</v>
      </c>
      <c r="F90" s="50">
        <v>1092264.8119000001</v>
      </c>
      <c r="G90" s="50">
        <v>88821.422599999991</v>
      </c>
    </row>
    <row r="91" spans="1:7" x14ac:dyDescent="0.3">
      <c r="A91" t="str">
        <f t="shared" si="1"/>
        <v>45623Invercargill Harness Racing Club Inc</v>
      </c>
      <c r="B91" s="29">
        <v>45623</v>
      </c>
      <c r="C91" t="s">
        <v>163</v>
      </c>
      <c r="D91" t="s">
        <v>85</v>
      </c>
      <c r="E91">
        <v>7455</v>
      </c>
      <c r="F91" s="50">
        <v>553529.75619999901</v>
      </c>
      <c r="G91" s="50">
        <v>158865.15999999989</v>
      </c>
    </row>
    <row r="92" spans="1:7" x14ac:dyDescent="0.3">
      <c r="A92" t="str">
        <f t="shared" si="1"/>
        <v>45625Auckland Trotting Club Inc</v>
      </c>
      <c r="B92" s="29">
        <v>45625</v>
      </c>
      <c r="C92" t="s">
        <v>160</v>
      </c>
      <c r="D92" t="s">
        <v>78</v>
      </c>
      <c r="E92">
        <v>8331</v>
      </c>
      <c r="F92" s="50">
        <v>560105.02739999897</v>
      </c>
      <c r="G92" s="50">
        <v>-42001.875450000109</v>
      </c>
    </row>
    <row r="93" spans="1:7" x14ac:dyDescent="0.3">
      <c r="A93" t="str">
        <f t="shared" si="1"/>
        <v>45625NZ Metropolitan Trotting Club Inc</v>
      </c>
      <c r="B93" s="29">
        <v>45625</v>
      </c>
      <c r="C93" t="s">
        <v>161</v>
      </c>
      <c r="D93" t="s">
        <v>80</v>
      </c>
      <c r="E93">
        <v>13726</v>
      </c>
      <c r="F93" s="50">
        <v>1240100.266899999</v>
      </c>
      <c r="G93" s="50">
        <v>157756.83144999988</v>
      </c>
    </row>
    <row r="94" spans="1:7" x14ac:dyDescent="0.3">
      <c r="A94" t="str">
        <f t="shared" si="1"/>
        <v>45626Akaroa Trotting Club Inc</v>
      </c>
      <c r="B94" s="29">
        <v>45626</v>
      </c>
      <c r="C94" t="s">
        <v>170</v>
      </c>
      <c r="D94" t="s">
        <v>102</v>
      </c>
      <c r="E94">
        <v>9645</v>
      </c>
      <c r="F94" s="50">
        <v>839988.05539999902</v>
      </c>
      <c r="G94" s="50">
        <v>125447.8458499999</v>
      </c>
    </row>
    <row r="95" spans="1:7" x14ac:dyDescent="0.3">
      <c r="A95" t="str">
        <f t="shared" si="1"/>
        <v>45627Methven Trotting Club Inc</v>
      </c>
      <c r="B95" s="29">
        <v>45627</v>
      </c>
      <c r="C95" t="s">
        <v>169</v>
      </c>
      <c r="D95" t="s">
        <v>91</v>
      </c>
      <c r="E95">
        <v>12815</v>
      </c>
      <c r="F95" s="50">
        <v>1150006.982799999</v>
      </c>
      <c r="G95" s="50">
        <v>262267.52554999897</v>
      </c>
    </row>
    <row r="96" spans="1:7" x14ac:dyDescent="0.3">
      <c r="A96" t="str">
        <f t="shared" si="1"/>
        <v>45630NZ Metropolitan Trotting Club Inc</v>
      </c>
      <c r="B96" s="29">
        <v>45630</v>
      </c>
      <c r="C96" t="s">
        <v>161</v>
      </c>
      <c r="D96" t="s">
        <v>80</v>
      </c>
      <c r="E96">
        <v>7718</v>
      </c>
      <c r="F96" s="50">
        <v>503748.88279999897</v>
      </c>
      <c r="G96" s="50">
        <v>118532.47369999989</v>
      </c>
    </row>
    <row r="97" spans="1:7" x14ac:dyDescent="0.3">
      <c r="A97" t="str">
        <f t="shared" si="1"/>
        <v>45632Auckland Trotting Club Inc</v>
      </c>
      <c r="B97" s="29">
        <v>45632</v>
      </c>
      <c r="C97" t="s">
        <v>160</v>
      </c>
      <c r="D97" t="s">
        <v>78</v>
      </c>
      <c r="E97">
        <v>9371</v>
      </c>
      <c r="F97" s="50">
        <v>744071.41339999996</v>
      </c>
      <c r="G97" s="50">
        <v>178752.65465000001</v>
      </c>
    </row>
    <row r="98" spans="1:7" x14ac:dyDescent="0.3">
      <c r="A98" t="str">
        <f t="shared" si="1"/>
        <v>45632NZ Metropolitan Trotting Club Inc</v>
      </c>
      <c r="B98" s="29">
        <v>45632</v>
      </c>
      <c r="C98" t="s">
        <v>161</v>
      </c>
      <c r="D98" t="s">
        <v>80</v>
      </c>
      <c r="E98">
        <v>14988</v>
      </c>
      <c r="F98" s="50">
        <v>1372140.9037000001</v>
      </c>
      <c r="G98" s="50">
        <v>304223.11239999998</v>
      </c>
    </row>
    <row r="99" spans="1:7" x14ac:dyDescent="0.3">
      <c r="A99" t="str">
        <f t="shared" si="1"/>
        <v>45633Geraldine Trotting Club Inc</v>
      </c>
      <c r="B99" s="29">
        <v>45633</v>
      </c>
      <c r="C99" t="s">
        <v>174</v>
      </c>
      <c r="D99" t="s">
        <v>103</v>
      </c>
      <c r="E99">
        <v>10211</v>
      </c>
      <c r="F99" s="50">
        <v>947015.841599999</v>
      </c>
      <c r="G99" s="50">
        <v>231313.3484499999</v>
      </c>
    </row>
    <row r="100" spans="1:7" x14ac:dyDescent="0.3">
      <c r="A100" t="str">
        <f t="shared" si="1"/>
        <v>45634Forbury Park Trotting Club Inc</v>
      </c>
      <c r="B100" s="29">
        <v>45634</v>
      </c>
      <c r="C100" t="s">
        <v>175</v>
      </c>
      <c r="D100" t="s">
        <v>104</v>
      </c>
      <c r="E100">
        <v>11987</v>
      </c>
      <c r="F100" s="50">
        <v>934889.54649999901</v>
      </c>
      <c r="G100" s="50">
        <v>218218.42454999988</v>
      </c>
    </row>
    <row r="101" spans="1:7" x14ac:dyDescent="0.3">
      <c r="A101" t="str">
        <f t="shared" si="1"/>
        <v>45636Manawatu Harness Racing Club Inc</v>
      </c>
      <c r="B101" s="29">
        <v>45636</v>
      </c>
      <c r="C101" t="s">
        <v>173</v>
      </c>
      <c r="D101" t="s">
        <v>101</v>
      </c>
      <c r="E101">
        <v>4629</v>
      </c>
      <c r="F101" s="50">
        <v>277507.2464</v>
      </c>
      <c r="G101" s="50">
        <v>64156.865149999998</v>
      </c>
    </row>
    <row r="102" spans="1:7" x14ac:dyDescent="0.3">
      <c r="A102" t="str">
        <f t="shared" si="1"/>
        <v>45637Oamaru Harness Racing Club Inc</v>
      </c>
      <c r="B102" s="29">
        <v>45637</v>
      </c>
      <c r="C102" t="s">
        <v>165</v>
      </c>
      <c r="D102" t="s">
        <v>92</v>
      </c>
      <c r="E102">
        <v>8705</v>
      </c>
      <c r="F102" s="50">
        <v>604221.69469999894</v>
      </c>
      <c r="G102" s="50">
        <v>131100.33879999991</v>
      </c>
    </row>
    <row r="103" spans="1:7" x14ac:dyDescent="0.3">
      <c r="A103" t="str">
        <f t="shared" si="1"/>
        <v>45638Manawatu Harness Racing Club Inc</v>
      </c>
      <c r="B103" s="29">
        <v>45638</v>
      </c>
      <c r="C103" t="s">
        <v>173</v>
      </c>
      <c r="D103" t="s">
        <v>101</v>
      </c>
      <c r="E103">
        <v>5882</v>
      </c>
      <c r="F103" s="50">
        <v>326468.486399999</v>
      </c>
      <c r="G103" s="50">
        <v>25652.783399999898</v>
      </c>
    </row>
    <row r="104" spans="1:7" x14ac:dyDescent="0.3">
      <c r="A104" t="str">
        <f t="shared" si="1"/>
        <v>45638Winton Harness Racing Club Inc</v>
      </c>
      <c r="B104" s="29">
        <v>45638</v>
      </c>
      <c r="C104" t="s">
        <v>159</v>
      </c>
      <c r="D104" t="s">
        <v>75</v>
      </c>
      <c r="E104">
        <v>8697</v>
      </c>
      <c r="F104" s="50">
        <v>620879.81369999901</v>
      </c>
      <c r="G104" s="50">
        <v>150882.33519999991</v>
      </c>
    </row>
    <row r="105" spans="1:7" x14ac:dyDescent="0.3">
      <c r="A105" t="str">
        <f t="shared" si="1"/>
        <v>45639Auckland Trotting Club Inc</v>
      </c>
      <c r="B105" s="29">
        <v>45639</v>
      </c>
      <c r="C105" t="s">
        <v>160</v>
      </c>
      <c r="D105" t="s">
        <v>78</v>
      </c>
      <c r="E105">
        <v>10903</v>
      </c>
      <c r="F105" s="50">
        <v>840992.19199999899</v>
      </c>
      <c r="G105" s="50">
        <v>144072.5940999999</v>
      </c>
    </row>
    <row r="106" spans="1:7" x14ac:dyDescent="0.3">
      <c r="A106" t="str">
        <f t="shared" si="1"/>
        <v>45639NZ Metropolitan Trotting Club Inc</v>
      </c>
      <c r="B106" s="29">
        <v>45639</v>
      </c>
      <c r="C106" t="s">
        <v>161</v>
      </c>
      <c r="D106" t="s">
        <v>80</v>
      </c>
      <c r="E106">
        <v>11949</v>
      </c>
      <c r="F106" s="50">
        <v>905146.47679999901</v>
      </c>
      <c r="G106" s="50">
        <v>133732.53449999989</v>
      </c>
    </row>
    <row r="107" spans="1:7" x14ac:dyDescent="0.3">
      <c r="A107" t="str">
        <f t="shared" si="1"/>
        <v>45641Rangiora Harness Racing Club Inc</v>
      </c>
      <c r="B107" s="29">
        <v>45641</v>
      </c>
      <c r="C107" t="s">
        <v>167</v>
      </c>
      <c r="D107" t="s">
        <v>89</v>
      </c>
      <c r="E107">
        <v>12526</v>
      </c>
      <c r="F107" s="50">
        <v>1169610.6038999991</v>
      </c>
      <c r="G107" s="50">
        <v>213735.23829999898</v>
      </c>
    </row>
    <row r="108" spans="1:7" x14ac:dyDescent="0.3">
      <c r="A108" t="str">
        <f t="shared" si="1"/>
        <v>45643NZ Metropolitan Trotting Club Inc</v>
      </c>
      <c r="B108" s="29">
        <v>45643</v>
      </c>
      <c r="C108" t="s">
        <v>161</v>
      </c>
      <c r="D108" t="s">
        <v>80</v>
      </c>
      <c r="E108">
        <v>6832</v>
      </c>
      <c r="F108" s="50">
        <v>475085.28549999895</v>
      </c>
      <c r="G108" s="50">
        <v>97320.100799999898</v>
      </c>
    </row>
    <row r="109" spans="1:7" x14ac:dyDescent="0.3">
      <c r="A109" t="str">
        <f t="shared" si="1"/>
        <v>45645Waikato Bay of Plenty Harness Inc</v>
      </c>
      <c r="B109" s="29">
        <v>45645</v>
      </c>
      <c r="C109" t="s">
        <v>162</v>
      </c>
      <c r="D109" t="s">
        <v>84</v>
      </c>
      <c r="E109">
        <v>6415</v>
      </c>
      <c r="F109" s="50">
        <v>480411.16919999896</v>
      </c>
      <c r="G109" s="50">
        <v>120477.0983999999</v>
      </c>
    </row>
    <row r="110" spans="1:7" x14ac:dyDescent="0.3">
      <c r="A110" t="str">
        <f t="shared" si="1"/>
        <v>45646Auckland Trotting Club Inc</v>
      </c>
      <c r="B110" s="29">
        <v>45646</v>
      </c>
      <c r="C110" t="s">
        <v>160</v>
      </c>
      <c r="D110" t="s">
        <v>78</v>
      </c>
      <c r="E110">
        <v>11302</v>
      </c>
      <c r="F110" s="50">
        <v>1013745.5071999989</v>
      </c>
      <c r="G110" s="50">
        <v>76305.807199999908</v>
      </c>
    </row>
    <row r="111" spans="1:7" x14ac:dyDescent="0.3">
      <c r="A111" t="str">
        <f t="shared" si="1"/>
        <v>45646Invercargill Harness Racing Club Inc</v>
      </c>
      <c r="B111" s="29">
        <v>45646</v>
      </c>
      <c r="C111" t="s">
        <v>163</v>
      </c>
      <c r="D111" t="s">
        <v>85</v>
      </c>
      <c r="E111">
        <v>14632</v>
      </c>
      <c r="F111" s="50">
        <v>1449629.586399999</v>
      </c>
      <c r="G111" s="50">
        <v>140645.10839999898</v>
      </c>
    </row>
    <row r="112" spans="1:7" x14ac:dyDescent="0.3">
      <c r="A112" t="str">
        <f t="shared" si="1"/>
        <v>45648Ashburton Trotting Club Inc</v>
      </c>
      <c r="B112" s="29">
        <v>45648</v>
      </c>
      <c r="C112" t="s">
        <v>164</v>
      </c>
      <c r="D112" t="s">
        <v>86</v>
      </c>
      <c r="E112">
        <v>13525</v>
      </c>
      <c r="F112" s="50">
        <v>1113060.0473999991</v>
      </c>
      <c r="G112" s="50">
        <v>151959.5124999999</v>
      </c>
    </row>
    <row r="113" spans="1:7" x14ac:dyDescent="0.3">
      <c r="A113" t="str">
        <f t="shared" si="1"/>
        <v>45650Waikato Bay of Plenty Harness Inc</v>
      </c>
      <c r="B113" s="29">
        <v>45650</v>
      </c>
      <c r="C113" t="s">
        <v>162</v>
      </c>
      <c r="D113" t="s">
        <v>84</v>
      </c>
      <c r="E113">
        <v>11064</v>
      </c>
      <c r="F113" s="50">
        <v>904748.34459999902</v>
      </c>
      <c r="G113" s="50">
        <v>138541.48119999989</v>
      </c>
    </row>
    <row r="114" spans="1:7" x14ac:dyDescent="0.3">
      <c r="A114" t="str">
        <f t="shared" si="1"/>
        <v>45652Westport Trotting Club Inc</v>
      </c>
      <c r="B114" s="29">
        <v>45652</v>
      </c>
      <c r="C114" t="s">
        <v>176</v>
      </c>
      <c r="D114" t="s">
        <v>105</v>
      </c>
      <c r="E114">
        <v>16000</v>
      </c>
      <c r="F114" s="50">
        <v>1601942.637799999</v>
      </c>
      <c r="G114" s="50">
        <v>258457.36649999901</v>
      </c>
    </row>
    <row r="115" spans="1:7" x14ac:dyDescent="0.3">
      <c r="A115" t="str">
        <f t="shared" si="1"/>
        <v>45653Gore Harness Racing Club Inc</v>
      </c>
      <c r="B115" s="29">
        <v>45653</v>
      </c>
      <c r="C115" t="s">
        <v>166</v>
      </c>
      <c r="D115" t="s">
        <v>88</v>
      </c>
      <c r="E115">
        <v>14434</v>
      </c>
      <c r="F115" s="50">
        <v>1368264.4568999992</v>
      </c>
      <c r="G115" s="50">
        <v>221415.31379999901</v>
      </c>
    </row>
    <row r="116" spans="1:7" x14ac:dyDescent="0.3">
      <c r="A116" t="str">
        <f t="shared" si="1"/>
        <v>45654Westport Trotting Club Inc</v>
      </c>
      <c r="B116" s="29">
        <v>45654</v>
      </c>
      <c r="C116" t="s">
        <v>176</v>
      </c>
      <c r="D116" t="s">
        <v>105</v>
      </c>
      <c r="E116">
        <v>11975</v>
      </c>
      <c r="F116" s="50">
        <v>1098291.8771999991</v>
      </c>
      <c r="G116" s="50">
        <v>191864.09499999898</v>
      </c>
    </row>
    <row r="117" spans="1:7" x14ac:dyDescent="0.3">
      <c r="A117" t="str">
        <f t="shared" si="1"/>
        <v>45655Banks Peninsula Trotting Club Inc</v>
      </c>
      <c r="B117" s="29">
        <v>45655</v>
      </c>
      <c r="C117" t="s">
        <v>170</v>
      </c>
      <c r="D117" t="s">
        <v>94</v>
      </c>
      <c r="E117">
        <v>15392</v>
      </c>
      <c r="F117" s="50">
        <v>1629510.6138999991</v>
      </c>
      <c r="G117" s="50">
        <v>316008.77969999902</v>
      </c>
    </row>
    <row r="118" spans="1:7" x14ac:dyDescent="0.3">
      <c r="A118" t="str">
        <f t="shared" si="1"/>
        <v>45656Reefton Trotting Club Inc</v>
      </c>
      <c r="B118" s="29">
        <v>45656</v>
      </c>
      <c r="C118" t="s">
        <v>177</v>
      </c>
      <c r="D118" t="s">
        <v>106</v>
      </c>
      <c r="E118">
        <v>13005</v>
      </c>
      <c r="F118" s="50">
        <v>1130073.8739999989</v>
      </c>
      <c r="G118" s="50">
        <v>243721.17709999991</v>
      </c>
    </row>
    <row r="119" spans="1:7" x14ac:dyDescent="0.3">
      <c r="A119" t="str">
        <f t="shared" si="1"/>
        <v>45657Auckland Trotting Club Inc</v>
      </c>
      <c r="B119" s="29">
        <v>45657</v>
      </c>
      <c r="C119" t="s">
        <v>160</v>
      </c>
      <c r="D119" t="s">
        <v>78</v>
      </c>
      <c r="E119">
        <v>16197</v>
      </c>
      <c r="F119" s="50">
        <v>1488183.280899999</v>
      </c>
      <c r="G119" s="50">
        <v>376958.02199999901</v>
      </c>
    </row>
    <row r="120" spans="1:7" x14ac:dyDescent="0.3">
      <c r="A120" t="str">
        <f t="shared" si="1"/>
        <v>45658Rangiora Harness Racing Club Inc</v>
      </c>
      <c r="B120" s="29">
        <v>45658</v>
      </c>
      <c r="C120" t="s">
        <v>167</v>
      </c>
      <c r="D120" t="s">
        <v>89</v>
      </c>
      <c r="E120">
        <v>12305</v>
      </c>
      <c r="F120" s="50">
        <v>809328.12479999894</v>
      </c>
      <c r="G120" s="50">
        <v>139226.7001999999</v>
      </c>
    </row>
    <row r="121" spans="1:7" x14ac:dyDescent="0.3">
      <c r="A121" t="str">
        <f t="shared" si="1"/>
        <v>45659Wairarapa Harness Racing Club Inc</v>
      </c>
      <c r="B121" s="29">
        <v>45659</v>
      </c>
      <c r="C121" t="s">
        <v>178</v>
      </c>
      <c r="D121" t="s">
        <v>108</v>
      </c>
      <c r="E121">
        <v>4784</v>
      </c>
      <c r="F121" s="50">
        <v>205857.7996</v>
      </c>
      <c r="G121" s="50">
        <v>60372.877399999998</v>
      </c>
    </row>
    <row r="122" spans="1:7" x14ac:dyDescent="0.3">
      <c r="A122" t="str">
        <f t="shared" si="1"/>
        <v>45659Central Otago Trotting Club Inc</v>
      </c>
      <c r="B122" s="29">
        <v>45659</v>
      </c>
      <c r="C122" t="s">
        <v>179</v>
      </c>
      <c r="D122" t="s">
        <v>107</v>
      </c>
      <c r="E122">
        <v>14957</v>
      </c>
      <c r="F122" s="50">
        <v>1434915.6205000002</v>
      </c>
      <c r="G122" s="50">
        <v>260354.22959999999</v>
      </c>
    </row>
    <row r="123" spans="1:7" x14ac:dyDescent="0.3">
      <c r="A123" t="str">
        <f t="shared" si="1"/>
        <v>45660Waikato Bay of Plenty Harness Inc</v>
      </c>
      <c r="B123" s="29">
        <v>45660</v>
      </c>
      <c r="C123" t="s">
        <v>162</v>
      </c>
      <c r="D123" t="s">
        <v>84</v>
      </c>
      <c r="E123">
        <v>9410</v>
      </c>
      <c r="F123" s="50">
        <v>636697.13609999907</v>
      </c>
      <c r="G123" s="50">
        <v>69264.389899999893</v>
      </c>
    </row>
    <row r="124" spans="1:7" x14ac:dyDescent="0.3">
      <c r="A124" t="str">
        <f t="shared" si="1"/>
        <v>45661Roxburgh Trotting Club Inc</v>
      </c>
      <c r="B124" s="29">
        <v>45661</v>
      </c>
      <c r="C124" t="s">
        <v>180</v>
      </c>
      <c r="D124" t="s">
        <v>109</v>
      </c>
      <c r="E124">
        <v>11492</v>
      </c>
      <c r="F124" s="50">
        <v>1014645.7214999989</v>
      </c>
      <c r="G124" s="50">
        <v>182303.7392999999</v>
      </c>
    </row>
    <row r="125" spans="1:7" x14ac:dyDescent="0.3">
      <c r="A125" t="str">
        <f t="shared" si="1"/>
        <v>45663Kapiti Coast Harness Racing Club Inc</v>
      </c>
      <c r="B125" s="29">
        <v>45663</v>
      </c>
      <c r="C125" t="s">
        <v>181</v>
      </c>
      <c r="D125" t="s">
        <v>110</v>
      </c>
      <c r="E125">
        <v>3068</v>
      </c>
      <c r="F125" s="50">
        <v>141035.53009999989</v>
      </c>
      <c r="G125" s="50">
        <v>19156.452299999903</v>
      </c>
    </row>
    <row r="126" spans="1:7" x14ac:dyDescent="0.3">
      <c r="A126" t="str">
        <f t="shared" si="1"/>
        <v>45663Wyndham Harness Racing Club Inc</v>
      </c>
      <c r="B126" s="29">
        <v>45663</v>
      </c>
      <c r="C126" t="s">
        <v>182</v>
      </c>
      <c r="D126" t="s">
        <v>90</v>
      </c>
      <c r="E126">
        <v>12092</v>
      </c>
      <c r="F126" s="50">
        <v>1285339.8206999991</v>
      </c>
      <c r="G126" s="50">
        <v>250390.40039999899</v>
      </c>
    </row>
    <row r="127" spans="1:7" x14ac:dyDescent="0.3">
      <c r="A127" t="str">
        <f t="shared" si="1"/>
        <v>45665Timaru Harness Racing Club Inc</v>
      </c>
      <c r="B127" s="29">
        <v>45665</v>
      </c>
      <c r="C127" t="s">
        <v>171</v>
      </c>
      <c r="D127" t="s">
        <v>95</v>
      </c>
      <c r="E127">
        <v>10772</v>
      </c>
      <c r="F127" s="50">
        <v>859926.5736999989</v>
      </c>
      <c r="G127" s="50">
        <v>149289.80639999988</v>
      </c>
    </row>
    <row r="128" spans="1:7" x14ac:dyDescent="0.3">
      <c r="A128" t="str">
        <f t="shared" si="1"/>
        <v>45666Waikato Bay of Plenty Harness Inc</v>
      </c>
      <c r="B128" s="29">
        <v>45666</v>
      </c>
      <c r="C128" t="s">
        <v>162</v>
      </c>
      <c r="D128" t="s">
        <v>84</v>
      </c>
      <c r="E128">
        <v>8286</v>
      </c>
      <c r="F128" s="50">
        <v>599325.34679999901</v>
      </c>
      <c r="G128" s="50">
        <v>50123.910899999901</v>
      </c>
    </row>
    <row r="129" spans="1:7" x14ac:dyDescent="0.3">
      <c r="A129" t="str">
        <f t="shared" si="1"/>
        <v>45667Nelson Harness Racing Club Inc</v>
      </c>
      <c r="B129" s="29">
        <v>45667</v>
      </c>
      <c r="C129" t="s">
        <v>183</v>
      </c>
      <c r="D129" t="s">
        <v>111</v>
      </c>
      <c r="E129">
        <v>12895</v>
      </c>
      <c r="F129" s="50">
        <v>1236186.567599999</v>
      </c>
      <c r="G129" s="50">
        <v>169403.41289999991</v>
      </c>
    </row>
    <row r="130" spans="1:7" x14ac:dyDescent="0.3">
      <c r="A130" t="str">
        <f t="shared" si="1"/>
        <v>45669Nelson Harness Racing Club Inc</v>
      </c>
      <c r="B130" s="29">
        <v>45669</v>
      </c>
      <c r="C130" t="s">
        <v>183</v>
      </c>
      <c r="D130" t="s">
        <v>111</v>
      </c>
      <c r="E130">
        <v>13019</v>
      </c>
      <c r="F130" s="50">
        <v>1074448.995799999</v>
      </c>
      <c r="G130" s="50">
        <v>31970.458599999904</v>
      </c>
    </row>
    <row r="131" spans="1:7" x14ac:dyDescent="0.3">
      <c r="A131" t="str">
        <f t="shared" ref="A131:A194" si="2">B131&amp;D131</f>
        <v>45671Ashburton Trotting Club Inc</v>
      </c>
      <c r="B131" s="29">
        <v>45671</v>
      </c>
      <c r="C131" t="s">
        <v>164</v>
      </c>
      <c r="D131" t="s">
        <v>86</v>
      </c>
      <c r="E131">
        <v>8553</v>
      </c>
      <c r="F131" s="50">
        <v>758207.49689999991</v>
      </c>
      <c r="G131" s="50">
        <v>172934.27240000002</v>
      </c>
    </row>
    <row r="132" spans="1:7" x14ac:dyDescent="0.3">
      <c r="A132" t="str">
        <f t="shared" si="2"/>
        <v>45673Northern Southland Trotting Club Inc</v>
      </c>
      <c r="B132" s="29">
        <v>45673</v>
      </c>
      <c r="C132" t="s">
        <v>163</v>
      </c>
      <c r="D132" t="s">
        <v>97</v>
      </c>
      <c r="E132">
        <v>10688</v>
      </c>
      <c r="F132" s="50">
        <v>892556.09669999895</v>
      </c>
      <c r="G132" s="50">
        <v>50117.947099999896</v>
      </c>
    </row>
    <row r="133" spans="1:7" x14ac:dyDescent="0.3">
      <c r="A133" t="str">
        <f t="shared" si="2"/>
        <v>45674Waikato Bay of Plenty Harness Inc</v>
      </c>
      <c r="B133" s="29">
        <v>45674</v>
      </c>
      <c r="C133" t="s">
        <v>162</v>
      </c>
      <c r="D133" t="s">
        <v>84</v>
      </c>
      <c r="E133">
        <v>9001</v>
      </c>
      <c r="F133" s="50">
        <v>627215.64509999997</v>
      </c>
      <c r="G133" s="50">
        <v>129745.2181</v>
      </c>
    </row>
    <row r="134" spans="1:7" x14ac:dyDescent="0.3">
      <c r="A134" t="str">
        <f t="shared" si="2"/>
        <v>45674Marlborough Harness Racing Club Inc</v>
      </c>
      <c r="B134" s="29">
        <v>45674</v>
      </c>
      <c r="C134" t="s">
        <v>184</v>
      </c>
      <c r="D134" t="s">
        <v>112</v>
      </c>
      <c r="E134">
        <v>12974</v>
      </c>
      <c r="F134" s="50">
        <v>1351508.1514999999</v>
      </c>
      <c r="G134" s="50">
        <v>292657.05410000001</v>
      </c>
    </row>
    <row r="135" spans="1:7" x14ac:dyDescent="0.3">
      <c r="A135" t="str">
        <f t="shared" si="2"/>
        <v>45676Kapiti Coast Harness Racing Club Inc</v>
      </c>
      <c r="B135" s="29">
        <v>45676</v>
      </c>
      <c r="C135" t="s">
        <v>181</v>
      </c>
      <c r="D135" t="s">
        <v>110</v>
      </c>
      <c r="E135">
        <v>7037</v>
      </c>
      <c r="F135" s="50">
        <v>355900.70099999901</v>
      </c>
      <c r="G135" s="50">
        <v>112052.3189999999</v>
      </c>
    </row>
    <row r="136" spans="1:7" x14ac:dyDescent="0.3">
      <c r="A136" t="str">
        <f t="shared" si="2"/>
        <v>45676Marlborough Harness Racing Club Inc</v>
      </c>
      <c r="B136" s="29">
        <v>45676</v>
      </c>
      <c r="C136" t="s">
        <v>184</v>
      </c>
      <c r="D136" t="s">
        <v>112</v>
      </c>
      <c r="E136">
        <v>13823</v>
      </c>
      <c r="F136" s="50">
        <v>1349191.4089000002</v>
      </c>
      <c r="G136" s="50">
        <v>306500.70780000003</v>
      </c>
    </row>
    <row r="137" spans="1:7" x14ac:dyDescent="0.3">
      <c r="A137" t="str">
        <f t="shared" si="2"/>
        <v>45678Kapiti Coast Harness Racing Club Inc</v>
      </c>
      <c r="B137" s="29">
        <v>45678</v>
      </c>
      <c r="C137" t="s">
        <v>181</v>
      </c>
      <c r="D137" t="s">
        <v>110</v>
      </c>
      <c r="E137">
        <v>6194</v>
      </c>
      <c r="F137" s="50">
        <v>423191.038</v>
      </c>
      <c r="G137" s="50">
        <v>53859.189200000001</v>
      </c>
    </row>
    <row r="138" spans="1:7" x14ac:dyDescent="0.3">
      <c r="A138" t="str">
        <f t="shared" si="2"/>
        <v>45679Forbury Park Trotting Club Inc</v>
      </c>
      <c r="B138" s="29">
        <v>45679</v>
      </c>
      <c r="C138" t="s">
        <v>165</v>
      </c>
      <c r="D138" t="s">
        <v>104</v>
      </c>
      <c r="E138">
        <v>9056</v>
      </c>
      <c r="F138" s="50">
        <v>573397.33510000003</v>
      </c>
      <c r="G138" s="50">
        <v>84641.94200000001</v>
      </c>
    </row>
    <row r="139" spans="1:7" x14ac:dyDescent="0.3">
      <c r="A139" t="str">
        <f t="shared" si="2"/>
        <v>45681Waikato Bay of Plenty Harness Inc</v>
      </c>
      <c r="B139" s="29">
        <v>45681</v>
      </c>
      <c r="C139" t="s">
        <v>162</v>
      </c>
      <c r="D139" t="s">
        <v>84</v>
      </c>
      <c r="E139">
        <v>7006</v>
      </c>
      <c r="F139" s="50">
        <v>402359.09669999901</v>
      </c>
      <c r="G139" s="50">
        <v>104065.08779999991</v>
      </c>
    </row>
    <row r="140" spans="1:7" x14ac:dyDescent="0.3">
      <c r="A140" t="str">
        <f t="shared" si="2"/>
        <v>45681NZ Metropolitan Trotting Club Inc</v>
      </c>
      <c r="B140" s="29">
        <v>45681</v>
      </c>
      <c r="C140" t="s">
        <v>161</v>
      </c>
      <c r="D140" t="s">
        <v>80</v>
      </c>
      <c r="E140">
        <v>12458</v>
      </c>
      <c r="F140" s="50">
        <v>950163.81059999997</v>
      </c>
      <c r="G140" s="50">
        <v>129076.74170000001</v>
      </c>
    </row>
    <row r="141" spans="1:7" x14ac:dyDescent="0.3">
      <c r="A141" t="str">
        <f t="shared" si="2"/>
        <v>45683Riverton Trotting Club Inc</v>
      </c>
      <c r="B141" s="29">
        <v>45683</v>
      </c>
      <c r="C141" t="s">
        <v>185</v>
      </c>
      <c r="D141" t="s">
        <v>113</v>
      </c>
      <c r="E141">
        <v>11552</v>
      </c>
      <c r="F141" s="50">
        <v>825257.140799999</v>
      </c>
      <c r="G141" s="50">
        <v>199552.96559999988</v>
      </c>
    </row>
    <row r="142" spans="1:7" x14ac:dyDescent="0.3">
      <c r="A142" t="str">
        <f t="shared" si="2"/>
        <v>45683Methven Trotting Club Inc</v>
      </c>
      <c r="B142" s="29">
        <v>45683</v>
      </c>
      <c r="C142" t="s">
        <v>169</v>
      </c>
      <c r="D142" t="s">
        <v>91</v>
      </c>
      <c r="E142">
        <v>12747</v>
      </c>
      <c r="F142" s="50">
        <v>957470.89239999908</v>
      </c>
      <c r="G142" s="50">
        <v>174280.35359999991</v>
      </c>
    </row>
    <row r="143" spans="1:7" x14ac:dyDescent="0.3">
      <c r="A143" t="str">
        <f t="shared" si="2"/>
        <v>45684Waikato Bay of Plenty Harness Inc</v>
      </c>
      <c r="B143" s="29">
        <v>45684</v>
      </c>
      <c r="C143" t="s">
        <v>162</v>
      </c>
      <c r="D143" t="s">
        <v>84</v>
      </c>
      <c r="E143">
        <v>4070</v>
      </c>
      <c r="F143" s="50">
        <v>196437.62160000001</v>
      </c>
      <c r="G143" s="50">
        <v>-23876.4584</v>
      </c>
    </row>
    <row r="144" spans="1:7" x14ac:dyDescent="0.3">
      <c r="A144" t="str">
        <f t="shared" si="2"/>
        <v>45687Invercargill Harness Racing Club Inc</v>
      </c>
      <c r="B144" s="29">
        <v>45687</v>
      </c>
      <c r="C144" t="s">
        <v>163</v>
      </c>
      <c r="D144" t="s">
        <v>85</v>
      </c>
      <c r="E144">
        <v>8257</v>
      </c>
      <c r="F144" s="50">
        <v>614945.41949999996</v>
      </c>
      <c r="G144" s="50">
        <v>48606.799500000001</v>
      </c>
    </row>
    <row r="145" spans="1:8" x14ac:dyDescent="0.3">
      <c r="A145" t="str">
        <f t="shared" si="2"/>
        <v>45688Hawera Harness Racing Club Inc</v>
      </c>
      <c r="B145" s="29">
        <v>45688</v>
      </c>
      <c r="C145" t="s">
        <v>186</v>
      </c>
      <c r="D145" t="s">
        <v>114</v>
      </c>
      <c r="E145">
        <v>8425</v>
      </c>
      <c r="F145" s="50">
        <v>604619.78539999994</v>
      </c>
      <c r="G145" s="50">
        <v>99708.43220000001</v>
      </c>
    </row>
    <row r="146" spans="1:8" x14ac:dyDescent="0.3">
      <c r="A146" t="str">
        <f t="shared" si="2"/>
        <v>45688NZ Metropolitan Trotting Club Inc</v>
      </c>
      <c r="B146" s="29">
        <v>45688</v>
      </c>
      <c r="C146" t="s">
        <v>161</v>
      </c>
      <c r="D146" t="s">
        <v>80</v>
      </c>
      <c r="E146">
        <v>12025</v>
      </c>
      <c r="F146" s="50">
        <v>900848.35239999904</v>
      </c>
      <c r="G146" s="50">
        <v>43272.804499999897</v>
      </c>
    </row>
    <row r="147" spans="1:8" x14ac:dyDescent="0.3">
      <c r="A147" t="str">
        <f t="shared" si="2"/>
        <v>45690Hawera Harness Racing Club Inc</v>
      </c>
      <c r="B147" s="29">
        <v>45690</v>
      </c>
      <c r="C147" t="s">
        <v>186</v>
      </c>
      <c r="D147" t="s">
        <v>114</v>
      </c>
      <c r="E147">
        <v>10722</v>
      </c>
      <c r="F147" s="50">
        <v>726819.57529999898</v>
      </c>
      <c r="G147" s="50">
        <v>128285.0480999999</v>
      </c>
      <c r="H147" s="120">
        <v>165782</v>
      </c>
    </row>
    <row r="148" spans="1:8" x14ac:dyDescent="0.3">
      <c r="A148" t="str">
        <f t="shared" si="2"/>
        <v>45690Waikouaiti Trotting Club Inc</v>
      </c>
      <c r="B148" s="29">
        <v>45690</v>
      </c>
      <c r="C148" t="s">
        <v>165</v>
      </c>
      <c r="D148" t="s">
        <v>115</v>
      </c>
      <c r="E148">
        <v>11896</v>
      </c>
      <c r="F148" s="50">
        <v>890798.32609999902</v>
      </c>
      <c r="G148" s="50">
        <v>145416.5009999999</v>
      </c>
      <c r="H148" s="120">
        <v>379840.34</v>
      </c>
    </row>
    <row r="149" spans="1:8" x14ac:dyDescent="0.3">
      <c r="A149" t="str">
        <f t="shared" si="2"/>
        <v>45694Amberley Trotting Club Inc</v>
      </c>
      <c r="B149" s="29">
        <v>45694</v>
      </c>
      <c r="C149" t="s">
        <v>187</v>
      </c>
      <c r="D149" t="s">
        <v>116</v>
      </c>
      <c r="E149">
        <v>13414</v>
      </c>
      <c r="F149" s="50">
        <v>1128944.147799999</v>
      </c>
      <c r="G149" s="50">
        <v>248019.69539999991</v>
      </c>
      <c r="H149" s="120">
        <v>321957.11000000004</v>
      </c>
    </row>
    <row r="150" spans="1:8" x14ac:dyDescent="0.3">
      <c r="A150" t="str">
        <f t="shared" si="2"/>
        <v>45695Auckland Trotting Club Inc</v>
      </c>
      <c r="B150" s="29">
        <v>45695</v>
      </c>
      <c r="C150" t="s">
        <v>160</v>
      </c>
      <c r="D150" t="s">
        <v>78</v>
      </c>
      <c r="E150">
        <v>7815</v>
      </c>
      <c r="F150" s="50">
        <v>527998.46849999996</v>
      </c>
      <c r="G150" s="50">
        <v>125825.8333</v>
      </c>
      <c r="H150" s="120">
        <v>183363.44</v>
      </c>
    </row>
    <row r="151" spans="1:8" x14ac:dyDescent="0.3">
      <c r="A151" t="str">
        <f t="shared" si="2"/>
        <v>45695NZ Metropolitan Trotting Club Inc</v>
      </c>
      <c r="B151" s="29">
        <v>45695</v>
      </c>
      <c r="C151" t="s">
        <v>161</v>
      </c>
      <c r="D151" t="s">
        <v>80</v>
      </c>
      <c r="E151">
        <v>12134</v>
      </c>
      <c r="F151" s="50">
        <v>946826.25849999895</v>
      </c>
      <c r="G151" s="50">
        <v>231274.52469999989</v>
      </c>
      <c r="H151" s="120">
        <v>229336.80000000002</v>
      </c>
    </row>
    <row r="152" spans="1:8" x14ac:dyDescent="0.3">
      <c r="A152" t="str">
        <f t="shared" si="2"/>
        <v>45697Hororata Trotting Club Inc</v>
      </c>
      <c r="B152" s="29">
        <v>45697</v>
      </c>
      <c r="C152" t="s">
        <v>169</v>
      </c>
      <c r="D152" t="s">
        <v>117</v>
      </c>
      <c r="E152">
        <v>11357</v>
      </c>
      <c r="F152" s="50">
        <v>734090.44449999905</v>
      </c>
      <c r="G152" s="50">
        <v>192491.07959999991</v>
      </c>
      <c r="H152" s="120">
        <v>191605.46000000002</v>
      </c>
    </row>
    <row r="153" spans="1:8" x14ac:dyDescent="0.3">
      <c r="A153" t="str">
        <f t="shared" si="2"/>
        <v>45697Wairio Trotting Club Inc</v>
      </c>
      <c r="B153" s="29">
        <v>45697</v>
      </c>
      <c r="C153" t="s">
        <v>159</v>
      </c>
      <c r="D153" t="s">
        <v>118</v>
      </c>
      <c r="E153">
        <v>11174</v>
      </c>
      <c r="F153" s="50">
        <v>858774.95109999902</v>
      </c>
      <c r="G153" s="50">
        <v>228597.14899999992</v>
      </c>
      <c r="H153" s="120">
        <v>262862.26</v>
      </c>
    </row>
    <row r="154" spans="1:8" x14ac:dyDescent="0.3">
      <c r="A154" t="str">
        <f t="shared" si="2"/>
        <v>45699Manawatu Harness Racing Club Inc</v>
      </c>
      <c r="B154" s="29">
        <v>45699</v>
      </c>
      <c r="C154" t="s">
        <v>173</v>
      </c>
      <c r="D154" t="s">
        <v>101</v>
      </c>
      <c r="E154">
        <v>5578</v>
      </c>
      <c r="F154" s="50">
        <v>379846.50319999899</v>
      </c>
      <c r="G154" s="50">
        <v>63078.918799999898</v>
      </c>
      <c r="H154" s="120">
        <v>260683.32</v>
      </c>
    </row>
    <row r="155" spans="1:8" x14ac:dyDescent="0.3">
      <c r="A155" t="str">
        <f t="shared" si="2"/>
        <v>45701Manawatu Harness Racing Club Inc</v>
      </c>
      <c r="B155" s="29">
        <v>45701</v>
      </c>
      <c r="C155" t="s">
        <v>173</v>
      </c>
      <c r="D155" t="s">
        <v>101</v>
      </c>
      <c r="E155">
        <v>5970</v>
      </c>
      <c r="F155" s="50">
        <v>349990.222799999</v>
      </c>
      <c r="G155" s="50">
        <v>36126.164999999899</v>
      </c>
      <c r="H155" s="120">
        <v>226862.03</v>
      </c>
    </row>
    <row r="156" spans="1:8" x14ac:dyDescent="0.3">
      <c r="A156" t="str">
        <f t="shared" si="2"/>
        <v>45702Auckland Trotting Club Inc</v>
      </c>
      <c r="B156" s="29">
        <v>45702</v>
      </c>
      <c r="C156" t="s">
        <v>160</v>
      </c>
      <c r="D156" t="s">
        <v>78</v>
      </c>
      <c r="E156">
        <v>7352</v>
      </c>
      <c r="F156" s="50">
        <v>487320.34769999899</v>
      </c>
      <c r="G156" s="50">
        <v>117866.15069999991</v>
      </c>
      <c r="H156" s="120">
        <v>138960.59</v>
      </c>
    </row>
    <row r="157" spans="1:8" x14ac:dyDescent="0.3">
      <c r="A157" t="str">
        <f t="shared" si="2"/>
        <v>45702NZ Metropolitan Trotting Club Inc</v>
      </c>
      <c r="B157" s="29">
        <v>45702</v>
      </c>
      <c r="C157" t="s">
        <v>161</v>
      </c>
      <c r="D157" t="s">
        <v>80</v>
      </c>
      <c r="E157">
        <v>12284</v>
      </c>
      <c r="F157" s="50">
        <v>977780.49649999896</v>
      </c>
      <c r="G157" s="50">
        <v>112541.73029999991</v>
      </c>
      <c r="H157" s="120">
        <v>279835.05000000005</v>
      </c>
    </row>
    <row r="158" spans="1:8" x14ac:dyDescent="0.3">
      <c r="A158" t="str">
        <f t="shared" si="2"/>
        <v>45704Gore Harness Racing Club Inc</v>
      </c>
      <c r="B158" s="29">
        <v>45704</v>
      </c>
      <c r="C158" t="s">
        <v>166</v>
      </c>
      <c r="D158" t="s">
        <v>88</v>
      </c>
      <c r="E158">
        <v>12182</v>
      </c>
      <c r="F158" s="50">
        <v>896026.25999999896</v>
      </c>
      <c r="G158" s="50">
        <v>184593.83289999992</v>
      </c>
      <c r="H158" s="120">
        <v>262008.83999999997</v>
      </c>
    </row>
    <row r="159" spans="1:8" x14ac:dyDescent="0.3">
      <c r="A159" t="str">
        <f t="shared" si="2"/>
        <v>45704Banks Peninsula Trotting Club Inc</v>
      </c>
      <c r="B159" s="29">
        <v>45704</v>
      </c>
      <c r="C159" t="s">
        <v>170</v>
      </c>
      <c r="D159" t="s">
        <v>94</v>
      </c>
      <c r="E159">
        <v>12798</v>
      </c>
      <c r="F159" s="50">
        <v>1006748.470899999</v>
      </c>
      <c r="G159" s="50">
        <v>279717.73249999899</v>
      </c>
      <c r="H159" s="120">
        <v>226924.37</v>
      </c>
    </row>
    <row r="160" spans="1:8" x14ac:dyDescent="0.3">
      <c r="A160" t="str">
        <f t="shared" si="2"/>
        <v>45708NZ Metropolitan Trotting Club Inc</v>
      </c>
      <c r="B160" s="29">
        <v>45708</v>
      </c>
      <c r="C160" t="s">
        <v>161</v>
      </c>
      <c r="D160" t="s">
        <v>80</v>
      </c>
      <c r="E160">
        <v>9046</v>
      </c>
      <c r="F160" s="50">
        <v>710083.31269999896</v>
      </c>
      <c r="G160" s="50">
        <v>101187.2236999999</v>
      </c>
      <c r="H160" s="120">
        <v>284068.82</v>
      </c>
    </row>
    <row r="161" spans="1:8" x14ac:dyDescent="0.3">
      <c r="A161" t="str">
        <f t="shared" si="2"/>
        <v>45709Auckland Trotting Club Inc</v>
      </c>
      <c r="B161" s="29">
        <v>45709</v>
      </c>
      <c r="C161" t="s">
        <v>160</v>
      </c>
      <c r="D161" t="s">
        <v>78</v>
      </c>
      <c r="E161">
        <v>8461</v>
      </c>
      <c r="F161" s="50">
        <v>589411.27109999908</v>
      </c>
      <c r="G161" s="50">
        <v>112914.3152999999</v>
      </c>
      <c r="H161" s="120">
        <v>159414.44</v>
      </c>
    </row>
    <row r="162" spans="1:8" x14ac:dyDescent="0.3">
      <c r="A162" t="str">
        <f t="shared" si="2"/>
        <v>45709Wyndham Harness Racing Club Inc</v>
      </c>
      <c r="B162" s="29">
        <v>45709</v>
      </c>
      <c r="C162" t="s">
        <v>182</v>
      </c>
      <c r="D162" t="s">
        <v>90</v>
      </c>
      <c r="E162">
        <v>10779</v>
      </c>
      <c r="F162" s="50">
        <v>766608.36319999897</v>
      </c>
      <c r="G162" s="50">
        <v>151540.13669999989</v>
      </c>
      <c r="H162" s="120">
        <v>209867.18000000002</v>
      </c>
    </row>
    <row r="163" spans="1:8" x14ac:dyDescent="0.3">
      <c r="A163" t="str">
        <f t="shared" si="2"/>
        <v>45710Ashburton Trotting Club Inc</v>
      </c>
      <c r="B163" s="29">
        <v>45710</v>
      </c>
      <c r="C163" t="s">
        <v>164</v>
      </c>
      <c r="D163" t="s">
        <v>86</v>
      </c>
      <c r="E163">
        <v>8979</v>
      </c>
      <c r="F163" s="50">
        <v>616230.67519999901</v>
      </c>
      <c r="G163" s="50">
        <v>125335.0095999999</v>
      </c>
      <c r="H163" s="120">
        <v>291327.53999999998</v>
      </c>
    </row>
    <row r="164" spans="1:8" x14ac:dyDescent="0.3">
      <c r="A164" t="str">
        <f t="shared" si="2"/>
        <v>45711Manawatu Harness Racing Club Inc</v>
      </c>
      <c r="B164" s="29">
        <v>45711</v>
      </c>
      <c r="C164" t="s">
        <v>173</v>
      </c>
      <c r="D164" t="s">
        <v>101</v>
      </c>
      <c r="E164">
        <v>5100</v>
      </c>
      <c r="F164" s="50">
        <v>279609.47469999897</v>
      </c>
      <c r="G164" s="50">
        <v>100605.74999999991</v>
      </c>
      <c r="H164" s="120">
        <v>145670.49</v>
      </c>
    </row>
    <row r="165" spans="1:8" x14ac:dyDescent="0.3">
      <c r="A165" t="str">
        <f t="shared" si="2"/>
        <v>45711Wyndham Harness Racing Club Inc</v>
      </c>
      <c r="B165" s="29">
        <v>45711</v>
      </c>
      <c r="C165" t="s">
        <v>182</v>
      </c>
      <c r="D165" t="s">
        <v>90</v>
      </c>
      <c r="E165">
        <v>11036</v>
      </c>
      <c r="F165" s="50">
        <v>739584.29349999898</v>
      </c>
      <c r="G165" s="50">
        <v>32172.017299999901</v>
      </c>
      <c r="H165" s="120">
        <v>180918.56999999998</v>
      </c>
    </row>
    <row r="166" spans="1:8" x14ac:dyDescent="0.3">
      <c r="A166" t="str">
        <f t="shared" si="2"/>
        <v>45713Manawatu Harness Racing Club Inc</v>
      </c>
      <c r="B166" s="29">
        <v>45713</v>
      </c>
      <c r="C166" t="s">
        <v>173</v>
      </c>
      <c r="D166" t="s">
        <v>101</v>
      </c>
      <c r="E166">
        <v>4200</v>
      </c>
      <c r="F166" s="50">
        <v>235745.27129999999</v>
      </c>
      <c r="G166" s="50">
        <v>55477.258900000001</v>
      </c>
      <c r="H166" s="120">
        <v>135232.44</v>
      </c>
    </row>
    <row r="167" spans="1:8" x14ac:dyDescent="0.3">
      <c r="A167" t="str">
        <f t="shared" si="2"/>
        <v>45713NZ Metropolitan Trotting Club Inc</v>
      </c>
      <c r="B167" s="29">
        <v>45713</v>
      </c>
      <c r="C167" t="s">
        <v>161</v>
      </c>
      <c r="D167" t="s">
        <v>80</v>
      </c>
      <c r="E167">
        <v>5639</v>
      </c>
      <c r="F167" s="50">
        <v>330023.32189999899</v>
      </c>
      <c r="G167" s="50">
        <v>63026.816399999894</v>
      </c>
      <c r="H167" s="120">
        <v>217420.01</v>
      </c>
    </row>
    <row r="168" spans="1:8" x14ac:dyDescent="0.3">
      <c r="A168" t="str">
        <f t="shared" si="2"/>
        <v>45715Winton Harness Racing Club Inc</v>
      </c>
      <c r="B168" s="29">
        <v>45715</v>
      </c>
      <c r="C168" t="s">
        <v>159</v>
      </c>
      <c r="D168" t="s">
        <v>75</v>
      </c>
      <c r="E168">
        <v>8060</v>
      </c>
      <c r="F168" s="50">
        <v>604997.33359999908</v>
      </c>
      <c r="G168" s="50">
        <v>169574.93269999989</v>
      </c>
      <c r="H168" s="120">
        <v>282470.40000000002</v>
      </c>
    </row>
    <row r="169" spans="1:8" x14ac:dyDescent="0.3">
      <c r="A169" t="str">
        <f t="shared" si="2"/>
        <v>45716Auckland Trotting Club Inc</v>
      </c>
      <c r="B169" s="29">
        <v>45716</v>
      </c>
      <c r="C169" t="s">
        <v>160</v>
      </c>
      <c r="D169" t="s">
        <v>78</v>
      </c>
      <c r="E169">
        <v>7953</v>
      </c>
      <c r="F169" s="50">
        <v>527716.22369999904</v>
      </c>
      <c r="G169" s="50">
        <v>87623.625099999888</v>
      </c>
      <c r="H169" s="120">
        <v>235582.91</v>
      </c>
    </row>
    <row r="170" spans="1:8" x14ac:dyDescent="0.3">
      <c r="A170" t="str">
        <f t="shared" si="2"/>
        <v>45716NZ Metropolitan Trotting Club Inc</v>
      </c>
      <c r="B170" s="29">
        <v>45716</v>
      </c>
      <c r="C170" t="s">
        <v>161</v>
      </c>
      <c r="D170" t="s">
        <v>80</v>
      </c>
      <c r="E170">
        <v>11878</v>
      </c>
      <c r="F170" s="50">
        <v>902230.38289999892</v>
      </c>
      <c r="G170" s="50">
        <v>158504.20219999991</v>
      </c>
      <c r="H170" s="120">
        <v>295496.25</v>
      </c>
    </row>
    <row r="171" spans="1:8" x14ac:dyDescent="0.3">
      <c r="A171" t="str">
        <f t="shared" si="2"/>
        <v>45718Rangiora Harness Racing Club Inc</v>
      </c>
      <c r="B171" s="29">
        <v>45718</v>
      </c>
      <c r="C171" t="s">
        <v>167</v>
      </c>
      <c r="D171" t="s">
        <v>89</v>
      </c>
      <c r="E171">
        <v>12221</v>
      </c>
      <c r="F171" s="50">
        <v>923180.19020000007</v>
      </c>
      <c r="G171" s="50">
        <v>113555.21590000001</v>
      </c>
      <c r="H171" s="120">
        <v>260003.18</v>
      </c>
    </row>
    <row r="172" spans="1:8" x14ac:dyDescent="0.3">
      <c r="A172" t="str">
        <f t="shared" si="2"/>
        <v>45720Waikato Bay of Plenty Harness Inc</v>
      </c>
      <c r="B172" s="29">
        <v>45720</v>
      </c>
      <c r="C172" t="s">
        <v>162</v>
      </c>
      <c r="D172" t="s">
        <v>84</v>
      </c>
      <c r="E172">
        <v>4594</v>
      </c>
      <c r="F172" s="50">
        <v>267602.1703</v>
      </c>
      <c r="G172" s="50">
        <v>60345.946299999996</v>
      </c>
      <c r="H172" s="120">
        <v>170904.66</v>
      </c>
    </row>
    <row r="173" spans="1:8" x14ac:dyDescent="0.3">
      <c r="A173" t="str">
        <f t="shared" si="2"/>
        <v>45721Oamaru Harness Racing Club Inc</v>
      </c>
      <c r="B173" s="29">
        <v>45721</v>
      </c>
      <c r="C173" t="s">
        <v>165</v>
      </c>
      <c r="D173" t="s">
        <v>92</v>
      </c>
      <c r="E173">
        <v>8490</v>
      </c>
      <c r="F173" s="50">
        <v>592904.95879999897</v>
      </c>
      <c r="G173" s="50">
        <v>41044.642899999897</v>
      </c>
      <c r="H173" s="120">
        <v>471157.77</v>
      </c>
    </row>
    <row r="174" spans="1:8" x14ac:dyDescent="0.3">
      <c r="A174" t="str">
        <f t="shared" si="2"/>
        <v>45723Auckland Trotting Club Inc</v>
      </c>
      <c r="B174" s="29">
        <v>45723</v>
      </c>
      <c r="C174" t="s">
        <v>160</v>
      </c>
      <c r="D174" t="s">
        <v>78</v>
      </c>
      <c r="E174">
        <v>8570</v>
      </c>
      <c r="F174" s="50">
        <v>598408.30160000001</v>
      </c>
      <c r="G174" s="50">
        <v>221157.2513</v>
      </c>
      <c r="H174" s="120">
        <v>280213.88</v>
      </c>
    </row>
    <row r="175" spans="1:8" x14ac:dyDescent="0.3">
      <c r="A175" t="str">
        <f t="shared" si="2"/>
        <v>45723Westport Trotting Club Inc</v>
      </c>
      <c r="B175" s="29">
        <v>45723</v>
      </c>
      <c r="C175" t="s">
        <v>176</v>
      </c>
      <c r="D175" t="s">
        <v>105</v>
      </c>
      <c r="E175">
        <v>11458</v>
      </c>
      <c r="F175" s="50">
        <v>992904.44539999904</v>
      </c>
      <c r="G175" s="50">
        <v>146533.58949999989</v>
      </c>
      <c r="H175" s="120">
        <v>297760.96000000002</v>
      </c>
    </row>
    <row r="176" spans="1:8" x14ac:dyDescent="0.3">
      <c r="A176" t="str">
        <f t="shared" si="2"/>
        <v>45724Northern Southland Trotting Club Inc</v>
      </c>
      <c r="B176" s="29">
        <v>45724</v>
      </c>
      <c r="C176" t="s">
        <v>163</v>
      </c>
      <c r="D176" t="s">
        <v>97</v>
      </c>
      <c r="E176">
        <v>7982</v>
      </c>
      <c r="F176" s="50">
        <v>514599.00499999902</v>
      </c>
      <c r="G176" s="50">
        <v>130479.9430999999</v>
      </c>
      <c r="H176" s="120">
        <v>167266.51</v>
      </c>
    </row>
    <row r="177" spans="1:8" x14ac:dyDescent="0.3">
      <c r="A177" t="str">
        <f t="shared" si="2"/>
        <v>45725Reefton Trotting Club Inc</v>
      </c>
      <c r="B177" s="29">
        <v>45725</v>
      </c>
      <c r="C177" t="s">
        <v>188</v>
      </c>
      <c r="D177" t="s">
        <v>106</v>
      </c>
      <c r="E177">
        <v>11980</v>
      </c>
      <c r="F177" s="50">
        <v>1002681.5074</v>
      </c>
      <c r="G177" s="50">
        <v>94522.71130000001</v>
      </c>
      <c r="H177" s="120">
        <v>240753.7</v>
      </c>
    </row>
    <row r="178" spans="1:8" x14ac:dyDescent="0.3">
      <c r="A178" t="str">
        <f t="shared" si="2"/>
        <v>45727Manawatu Harness Racing Club Inc</v>
      </c>
      <c r="B178" s="29">
        <v>45727</v>
      </c>
      <c r="C178" t="s">
        <v>173</v>
      </c>
      <c r="D178" t="s">
        <v>101</v>
      </c>
      <c r="E178">
        <v>6371</v>
      </c>
      <c r="F178" s="115">
        <v>435547</v>
      </c>
      <c r="G178" s="115">
        <v>73855</v>
      </c>
      <c r="H178" s="120">
        <v>509427.47</v>
      </c>
    </row>
    <row r="179" spans="1:8" x14ac:dyDescent="0.3">
      <c r="A179" t="str">
        <f t="shared" si="2"/>
        <v>45728Invercargill Harness Racing Club Inc</v>
      </c>
      <c r="B179" s="29">
        <v>45728</v>
      </c>
      <c r="C179" t="s">
        <v>163</v>
      </c>
      <c r="D179" t="s">
        <v>85</v>
      </c>
      <c r="E179">
        <v>5571</v>
      </c>
      <c r="F179" s="50">
        <v>260298.33020000003</v>
      </c>
      <c r="G179" s="50">
        <v>59461.329499999993</v>
      </c>
      <c r="H179" s="120">
        <v>152784.31</v>
      </c>
    </row>
    <row r="180" spans="1:8" x14ac:dyDescent="0.3">
      <c r="A180" t="str">
        <f t="shared" si="2"/>
        <v>45729Manawatu Harness Racing Club Inc</v>
      </c>
      <c r="B180" s="29">
        <v>45729</v>
      </c>
      <c r="C180" t="s">
        <v>173</v>
      </c>
      <c r="D180" t="s">
        <v>101</v>
      </c>
      <c r="E180">
        <v>6490</v>
      </c>
      <c r="F180" s="115">
        <v>390498</v>
      </c>
      <c r="G180" s="115">
        <v>82276</v>
      </c>
      <c r="H180" s="120">
        <v>207323.3</v>
      </c>
    </row>
    <row r="181" spans="1:8" x14ac:dyDescent="0.3">
      <c r="A181" t="str">
        <f t="shared" si="2"/>
        <v>45730Auckland Trotting Club Inc</v>
      </c>
      <c r="B181" s="29">
        <v>45730</v>
      </c>
      <c r="C181" t="s">
        <v>189</v>
      </c>
      <c r="D181" t="s">
        <v>78</v>
      </c>
      <c r="E181">
        <v>10376</v>
      </c>
      <c r="F181" s="50">
        <v>787614.16730000009</v>
      </c>
      <c r="G181" s="50">
        <v>125736.3561</v>
      </c>
      <c r="H181" s="120">
        <v>302614.94</v>
      </c>
    </row>
    <row r="182" spans="1:8" x14ac:dyDescent="0.3">
      <c r="A182" t="str">
        <f t="shared" si="2"/>
        <v>45730NZ Metropolitan Trotting Club Inc</v>
      </c>
      <c r="B182" s="29">
        <v>45730</v>
      </c>
      <c r="C182" t="s">
        <v>161</v>
      </c>
      <c r="D182" t="s">
        <v>80</v>
      </c>
      <c r="E182">
        <v>13636</v>
      </c>
      <c r="F182" s="50">
        <v>1074130.8796999999</v>
      </c>
      <c r="G182" s="50">
        <v>49350.607300000003</v>
      </c>
      <c r="H182" s="120">
        <v>434256.49</v>
      </c>
    </row>
    <row r="183" spans="1:8" x14ac:dyDescent="0.3">
      <c r="A183" t="str">
        <f t="shared" si="2"/>
        <v>45731Wyndham Harness Racing Club Inc</v>
      </c>
      <c r="B183" s="29">
        <v>45731</v>
      </c>
      <c r="C183" t="s">
        <v>190</v>
      </c>
      <c r="D183" t="s">
        <v>90</v>
      </c>
      <c r="E183">
        <v>6876</v>
      </c>
      <c r="F183" s="50">
        <v>414763.94270000001</v>
      </c>
      <c r="G183" s="50">
        <v>55637.956000000006</v>
      </c>
      <c r="H183" s="120">
        <v>153399.93</v>
      </c>
    </row>
    <row r="184" spans="1:8" x14ac:dyDescent="0.3">
      <c r="A184" t="str">
        <f t="shared" si="2"/>
        <v>45732Banks Peninsula Trotting Club Inc</v>
      </c>
      <c r="B184" s="29">
        <v>45732</v>
      </c>
      <c r="C184" t="s">
        <v>170</v>
      </c>
      <c r="D184" t="s">
        <v>94</v>
      </c>
      <c r="E184">
        <v>12425</v>
      </c>
      <c r="F184" s="50">
        <v>994656.81880000001</v>
      </c>
      <c r="G184" s="50">
        <v>250790.18580000001</v>
      </c>
      <c r="H184" s="120">
        <v>197073.83</v>
      </c>
    </row>
    <row r="185" spans="1:8" x14ac:dyDescent="0.3">
      <c r="A185" t="str">
        <f t="shared" si="2"/>
        <v>45732Forbury Park Trotting Club Inc</v>
      </c>
      <c r="B185" s="29">
        <v>45732</v>
      </c>
      <c r="C185" t="s">
        <v>175</v>
      </c>
      <c r="D185" t="s">
        <v>104</v>
      </c>
      <c r="E185">
        <v>5340</v>
      </c>
      <c r="F185" s="50">
        <v>191596.15009999997</v>
      </c>
      <c r="G185" s="50">
        <v>46653.016699999993</v>
      </c>
      <c r="H185" s="120">
        <v>48586.32</v>
      </c>
    </row>
    <row r="186" spans="1:8" x14ac:dyDescent="0.3">
      <c r="A186" t="str">
        <f t="shared" si="2"/>
        <v>45734Waikato Bay of Plenty Harness Inc</v>
      </c>
      <c r="B186" s="29">
        <v>45734</v>
      </c>
      <c r="C186" t="s">
        <v>162</v>
      </c>
      <c r="D186" t="s">
        <v>84</v>
      </c>
      <c r="E186">
        <v>5157</v>
      </c>
      <c r="F186" s="50">
        <v>331601.24739999999</v>
      </c>
      <c r="G186" s="50">
        <v>72912.106599999999</v>
      </c>
      <c r="H186" s="120">
        <v>173251.11</v>
      </c>
    </row>
    <row r="187" spans="1:8" x14ac:dyDescent="0.3">
      <c r="A187" t="str">
        <f t="shared" si="2"/>
        <v>45735NZ Metropolitan Trotting Club Inc</v>
      </c>
      <c r="B187" s="29">
        <v>45735</v>
      </c>
      <c r="C187" t="s">
        <v>161</v>
      </c>
      <c r="D187" t="s">
        <v>80</v>
      </c>
      <c r="E187">
        <v>7443</v>
      </c>
      <c r="F187" s="50">
        <v>474257.26269999996</v>
      </c>
      <c r="G187" s="50">
        <v>57569.679199999999</v>
      </c>
      <c r="H187" s="120">
        <v>206390.27</v>
      </c>
    </row>
    <row r="188" spans="1:8" x14ac:dyDescent="0.3">
      <c r="A188" t="str">
        <f t="shared" si="2"/>
        <v>45737NZ Metropolitan Trotting Club Inc</v>
      </c>
      <c r="B188" s="29">
        <v>45737</v>
      </c>
      <c r="C188" t="s">
        <v>161</v>
      </c>
      <c r="D188" t="s">
        <v>80</v>
      </c>
      <c r="E188">
        <v>11327</v>
      </c>
      <c r="F188" s="50">
        <v>857661.7071</v>
      </c>
      <c r="G188" s="50">
        <v>100077.2494</v>
      </c>
      <c r="H188" s="120">
        <v>290715.25</v>
      </c>
    </row>
    <row r="189" spans="1:8" x14ac:dyDescent="0.3">
      <c r="A189" t="str">
        <f t="shared" si="2"/>
        <v>45737Auckland Trotting Club Inc</v>
      </c>
      <c r="B189" s="29">
        <v>45737</v>
      </c>
      <c r="C189" t="s">
        <v>160</v>
      </c>
      <c r="D189" t="s">
        <v>78</v>
      </c>
      <c r="E189">
        <v>10563</v>
      </c>
      <c r="F189" s="50">
        <v>914227.21870000008</v>
      </c>
      <c r="G189" s="50">
        <v>75450.796600000001</v>
      </c>
      <c r="H189" s="120">
        <v>291390.55</v>
      </c>
    </row>
    <row r="190" spans="1:8" x14ac:dyDescent="0.3">
      <c r="A190" t="str">
        <f t="shared" si="2"/>
        <v>45738Winton Harness Racing Club Inc</v>
      </c>
      <c r="B190" s="29">
        <v>45738</v>
      </c>
      <c r="C190" t="s">
        <v>159</v>
      </c>
      <c r="D190" t="s">
        <v>75</v>
      </c>
      <c r="E190">
        <v>6346</v>
      </c>
      <c r="F190" s="50">
        <v>393617.13450000004</v>
      </c>
      <c r="G190" s="50">
        <v>80895.9565</v>
      </c>
      <c r="H190" s="120">
        <v>176291.9</v>
      </c>
    </row>
    <row r="191" spans="1:8" x14ac:dyDescent="0.3">
      <c r="A191" t="str">
        <f t="shared" si="2"/>
        <v>45739Waimate Trotting Club Inc</v>
      </c>
      <c r="B191" s="29">
        <v>45739</v>
      </c>
      <c r="C191" t="s">
        <v>165</v>
      </c>
      <c r="D191" t="s">
        <v>119</v>
      </c>
      <c r="E191">
        <v>12869</v>
      </c>
      <c r="F191" s="50">
        <v>1136330.5408000001</v>
      </c>
      <c r="G191" s="50">
        <v>217536.49400000001</v>
      </c>
      <c r="H191" s="120">
        <v>221862.09</v>
      </c>
    </row>
    <row r="192" spans="1:8" x14ac:dyDescent="0.3">
      <c r="A192" t="str">
        <f t="shared" si="2"/>
        <v>45741Waikato Bay of Plenty Harness Inc</v>
      </c>
      <c r="B192" s="29">
        <v>45741</v>
      </c>
      <c r="C192" t="s">
        <v>162</v>
      </c>
      <c r="D192" t="s">
        <v>84</v>
      </c>
      <c r="E192">
        <v>5116</v>
      </c>
      <c r="F192" s="50">
        <v>303779.00619999901</v>
      </c>
      <c r="G192" s="50">
        <v>63530.318099999902</v>
      </c>
      <c r="H192" s="120">
        <v>179108.68</v>
      </c>
    </row>
    <row r="193" spans="1:8" x14ac:dyDescent="0.3">
      <c r="A193" t="str">
        <f t="shared" si="2"/>
        <v>45742Ashburton Trotting Club Inc</v>
      </c>
      <c r="B193" s="29">
        <v>45742</v>
      </c>
      <c r="C193" t="s">
        <v>164</v>
      </c>
      <c r="D193" t="s">
        <v>86</v>
      </c>
      <c r="E193">
        <v>7025</v>
      </c>
      <c r="F193" s="50">
        <v>383805.13159999996</v>
      </c>
      <c r="G193" s="50">
        <v>67212.923200000005</v>
      </c>
      <c r="H193" s="120">
        <v>185256.7</v>
      </c>
    </row>
    <row r="194" spans="1:8" x14ac:dyDescent="0.3">
      <c r="A194" t="str">
        <f t="shared" si="2"/>
        <v>45744NZ Metropolitan Trotting Club Inc</v>
      </c>
      <c r="B194" s="29">
        <v>45744</v>
      </c>
      <c r="C194" t="s">
        <v>161</v>
      </c>
      <c r="D194" t="s">
        <v>80</v>
      </c>
      <c r="E194">
        <v>11580</v>
      </c>
      <c r="F194" s="50">
        <v>934582</v>
      </c>
      <c r="G194" s="50">
        <v>93236</v>
      </c>
      <c r="H194" s="120">
        <v>278832.94</v>
      </c>
    </row>
    <row r="195" spans="1:8" x14ac:dyDescent="0.3">
      <c r="A195" t="str">
        <f t="shared" ref="A195:A226" si="3">B195&amp;D195</f>
        <v>45744Waikato Bay of Plenty Harness Inc</v>
      </c>
      <c r="B195" s="29">
        <v>45744</v>
      </c>
      <c r="C195" t="s">
        <v>162</v>
      </c>
      <c r="D195" t="s">
        <v>84</v>
      </c>
      <c r="E195">
        <v>9924</v>
      </c>
      <c r="F195" s="50">
        <v>782296</v>
      </c>
      <c r="G195" s="50">
        <v>146175</v>
      </c>
      <c r="H195" s="120">
        <v>298302.39</v>
      </c>
    </row>
    <row r="196" spans="1:8" x14ac:dyDescent="0.3">
      <c r="A196" t="str">
        <f t="shared" si="3"/>
        <v>45746Rangiora Harness Racing Club Inc</v>
      </c>
      <c r="B196" s="29">
        <v>45746</v>
      </c>
      <c r="C196" t="s">
        <v>191</v>
      </c>
      <c r="D196" t="s">
        <v>89</v>
      </c>
      <c r="E196">
        <v>10907</v>
      </c>
      <c r="F196" s="50">
        <v>708204</v>
      </c>
      <c r="G196" s="50">
        <v>75450</v>
      </c>
      <c r="H196" s="120">
        <v>190836.52</v>
      </c>
    </row>
    <row r="197" spans="1:8" x14ac:dyDescent="0.3">
      <c r="A197" t="str">
        <f t="shared" si="3"/>
        <v>45746Wyndham Harness Racing Club Inc</v>
      </c>
      <c r="B197" s="29">
        <v>45746</v>
      </c>
      <c r="C197" t="s">
        <v>192</v>
      </c>
      <c r="D197" t="s">
        <v>90</v>
      </c>
      <c r="E197">
        <v>11443</v>
      </c>
      <c r="F197" s="50">
        <v>904424</v>
      </c>
      <c r="G197" s="50">
        <v>126575</v>
      </c>
      <c r="H197" s="120">
        <v>220123.2</v>
      </c>
    </row>
    <row r="198" spans="1:8" x14ac:dyDescent="0.3">
      <c r="A198" t="str">
        <f t="shared" si="3"/>
        <v>45746Manawatu Harness Racing Club Inc</v>
      </c>
      <c r="B198" s="29">
        <v>45746</v>
      </c>
      <c r="C198" t="s">
        <v>193</v>
      </c>
      <c r="D198" t="s">
        <v>101</v>
      </c>
      <c r="E198">
        <v>6577</v>
      </c>
      <c r="F198" s="50">
        <v>356727</v>
      </c>
      <c r="G198" s="50">
        <v>129631</v>
      </c>
      <c r="H198" s="120">
        <v>168901.16</v>
      </c>
    </row>
    <row r="199" spans="1:8" x14ac:dyDescent="0.3">
      <c r="A199" t="str">
        <f t="shared" si="3"/>
        <v>45748Manawatu Harness Racing Club Inc</v>
      </c>
      <c r="B199" s="29">
        <v>45748</v>
      </c>
      <c r="C199" t="s">
        <v>193</v>
      </c>
      <c r="D199" t="s">
        <v>101</v>
      </c>
      <c r="E199">
        <v>6005</v>
      </c>
      <c r="F199" s="50">
        <v>369245</v>
      </c>
      <c r="G199" s="50">
        <v>99329</v>
      </c>
      <c r="H199" s="120">
        <v>128510.38</v>
      </c>
    </row>
    <row r="200" spans="1:8" x14ac:dyDescent="0.3">
      <c r="A200" t="str">
        <f t="shared" si="3"/>
        <v>45749Timaru Harness Racing Club Inc</v>
      </c>
      <c r="B200" s="29">
        <v>45749</v>
      </c>
      <c r="C200" t="s">
        <v>194</v>
      </c>
      <c r="D200" t="s">
        <v>95</v>
      </c>
      <c r="E200">
        <v>7762</v>
      </c>
      <c r="F200" s="50">
        <v>548777</v>
      </c>
      <c r="G200" s="50">
        <v>65642</v>
      </c>
      <c r="H200" s="120">
        <v>257212.14</v>
      </c>
    </row>
    <row r="201" spans="1:8" x14ac:dyDescent="0.3">
      <c r="A201" t="str">
        <f t="shared" si="3"/>
        <v>45750Invercargill Harness Racing Club Inc</v>
      </c>
      <c r="B201" s="29">
        <v>45750</v>
      </c>
      <c r="C201" t="s">
        <v>195</v>
      </c>
      <c r="D201" t="s">
        <v>85</v>
      </c>
      <c r="E201">
        <v>7730</v>
      </c>
      <c r="F201" s="50">
        <v>534769</v>
      </c>
      <c r="G201" s="50">
        <v>86854</v>
      </c>
      <c r="H201" s="120">
        <v>323746.62</v>
      </c>
    </row>
    <row r="202" spans="1:8" x14ac:dyDescent="0.3">
      <c r="A202" t="str">
        <f t="shared" si="3"/>
        <v>45751Waikato Bay of Plenty Harness Inc</v>
      </c>
      <c r="B202" s="29">
        <v>45751</v>
      </c>
      <c r="C202" t="s">
        <v>196</v>
      </c>
      <c r="D202" t="s">
        <v>84</v>
      </c>
      <c r="E202">
        <v>18483</v>
      </c>
      <c r="F202" s="50">
        <v>1804207</v>
      </c>
      <c r="G202" s="50">
        <v>581276</v>
      </c>
      <c r="H202" s="120">
        <v>558491.51</v>
      </c>
    </row>
    <row r="203" spans="1:8" x14ac:dyDescent="0.3">
      <c r="A203" t="str">
        <f t="shared" si="3"/>
        <v>45751NZ Metropolitan Trotting Club Inc</v>
      </c>
      <c r="B203" s="29">
        <v>45751</v>
      </c>
      <c r="C203" t="s">
        <v>197</v>
      </c>
      <c r="D203" t="s">
        <v>80</v>
      </c>
      <c r="E203">
        <v>11935</v>
      </c>
      <c r="F203" s="50">
        <v>864765</v>
      </c>
      <c r="G203" s="50">
        <v>168808</v>
      </c>
      <c r="H203" s="120">
        <v>320206.31</v>
      </c>
    </row>
    <row r="204" spans="1:8" x14ac:dyDescent="0.3">
      <c r="A204" t="str">
        <f t="shared" si="3"/>
        <v>45753Cheviot Harness Racing Club Inc</v>
      </c>
      <c r="B204" s="29">
        <v>45753</v>
      </c>
      <c r="C204" t="s">
        <v>197</v>
      </c>
      <c r="D204" t="s">
        <v>120</v>
      </c>
      <c r="E204">
        <v>11620</v>
      </c>
      <c r="F204" s="50">
        <v>913959</v>
      </c>
      <c r="G204" s="50">
        <v>254062</v>
      </c>
      <c r="H204" s="120">
        <v>206628.71</v>
      </c>
    </row>
    <row r="205" spans="1:8" x14ac:dyDescent="0.3">
      <c r="A205" t="str">
        <f t="shared" si="3"/>
        <v>45753Manawatu Harness Racing Club Inc</v>
      </c>
      <c r="B205" s="29">
        <v>45753</v>
      </c>
      <c r="C205" t="s">
        <v>193</v>
      </c>
      <c r="D205" t="s">
        <v>101</v>
      </c>
      <c r="E205">
        <v>5585</v>
      </c>
      <c r="F205" s="50">
        <v>263753</v>
      </c>
      <c r="G205" s="50">
        <v>53052</v>
      </c>
      <c r="H205" s="120">
        <v>66213.59</v>
      </c>
    </row>
    <row r="206" spans="1:8" x14ac:dyDescent="0.3">
      <c r="A206" t="str">
        <f t="shared" si="3"/>
        <v>45755Manawatu Harness Racing Club Inc</v>
      </c>
      <c r="B206" s="29">
        <v>45755</v>
      </c>
      <c r="C206" t="s">
        <v>193</v>
      </c>
      <c r="D206" t="s">
        <v>101</v>
      </c>
      <c r="E206">
        <v>5129</v>
      </c>
      <c r="F206" s="50">
        <v>280489.60499999998</v>
      </c>
      <c r="G206" s="50">
        <v>63962.079599999997</v>
      </c>
      <c r="H206" s="120">
        <v>123552.63</v>
      </c>
    </row>
    <row r="207" spans="1:8" x14ac:dyDescent="0.3">
      <c r="A207" t="str">
        <f t="shared" si="3"/>
        <v>45756NZ Metropolitan Trotting Club Inc</v>
      </c>
      <c r="B207" s="29">
        <v>45756</v>
      </c>
      <c r="C207" t="s">
        <v>161</v>
      </c>
      <c r="D207" t="s">
        <v>80</v>
      </c>
      <c r="E207">
        <v>6488</v>
      </c>
      <c r="F207" s="50">
        <v>416646.40989999997</v>
      </c>
      <c r="G207" s="50">
        <v>60793.964200000002</v>
      </c>
      <c r="H207" s="120">
        <v>229395.64</v>
      </c>
    </row>
    <row r="208" spans="1:8" x14ac:dyDescent="0.3">
      <c r="A208" t="str">
        <f t="shared" si="3"/>
        <v>45757Wairio Trotting Club Inc</v>
      </c>
      <c r="B208" s="29">
        <v>45757</v>
      </c>
      <c r="C208" t="s">
        <v>159</v>
      </c>
      <c r="D208" t="s">
        <v>118</v>
      </c>
      <c r="E208">
        <v>7684</v>
      </c>
      <c r="F208" s="50">
        <v>519600.14529999904</v>
      </c>
      <c r="G208" s="50">
        <v>139351.4665999999</v>
      </c>
      <c r="H208" s="120">
        <v>340340.05</v>
      </c>
    </row>
    <row r="209" spans="1:8" x14ac:dyDescent="0.3">
      <c r="A209" t="str">
        <f t="shared" si="3"/>
        <v>45758NZ Metropolitan Trotting Club Inc</v>
      </c>
      <c r="B209" s="29">
        <v>45758</v>
      </c>
      <c r="C209" t="s">
        <v>161</v>
      </c>
      <c r="D209" t="s">
        <v>80</v>
      </c>
      <c r="E209">
        <v>12316</v>
      </c>
      <c r="F209" s="50">
        <v>929307.50989999902</v>
      </c>
      <c r="G209" s="50">
        <v>153268.92169999989</v>
      </c>
      <c r="H209" s="120">
        <v>296390.59000000003</v>
      </c>
    </row>
    <row r="210" spans="1:8" x14ac:dyDescent="0.3">
      <c r="A210" t="str">
        <f t="shared" si="3"/>
        <v>45758Auckland Trotting Club Inc</v>
      </c>
      <c r="B210" s="29">
        <v>45758</v>
      </c>
      <c r="C210" t="s">
        <v>160</v>
      </c>
      <c r="D210" t="s">
        <v>78</v>
      </c>
      <c r="E210">
        <v>11033</v>
      </c>
      <c r="F210" s="50">
        <v>843904.46219999995</v>
      </c>
      <c r="G210" s="50">
        <v>211711.84020000001</v>
      </c>
      <c r="H210" s="120">
        <v>327855.01</v>
      </c>
    </row>
    <row r="211" spans="1:8" x14ac:dyDescent="0.3">
      <c r="A211" t="str">
        <f t="shared" si="3"/>
        <v>45760Methven Trotting Club Inc</v>
      </c>
      <c r="B211" s="29">
        <v>45760</v>
      </c>
      <c r="C211" t="s">
        <v>169</v>
      </c>
      <c r="D211" t="s">
        <v>91</v>
      </c>
      <c r="E211">
        <v>12967</v>
      </c>
      <c r="F211" s="50">
        <v>1118316.566499999</v>
      </c>
      <c r="G211" s="50">
        <v>212249.42959999898</v>
      </c>
      <c r="H211" s="120">
        <v>310698.18</v>
      </c>
    </row>
    <row r="212" spans="1:8" x14ac:dyDescent="0.3">
      <c r="A212" t="str">
        <f t="shared" si="3"/>
        <v>45762NZ Metropolitan Trotting Club Inc</v>
      </c>
      <c r="B212" s="29">
        <v>45762</v>
      </c>
      <c r="C212" t="s">
        <v>161</v>
      </c>
      <c r="D212" t="s">
        <v>80</v>
      </c>
      <c r="E212">
        <v>6308</v>
      </c>
      <c r="F212" s="50">
        <v>343397.44789999898</v>
      </c>
      <c r="G212" s="50">
        <v>70322.932399999903</v>
      </c>
      <c r="H212" s="122">
        <v>219260.33</v>
      </c>
    </row>
    <row r="213" spans="1:8" x14ac:dyDescent="0.3">
      <c r="A213" t="str">
        <f t="shared" si="3"/>
        <v>45762Waikato Bay of Plenty Harness Inc</v>
      </c>
      <c r="B213" s="29">
        <v>45762</v>
      </c>
      <c r="C213" t="s">
        <v>162</v>
      </c>
      <c r="D213" t="s">
        <v>84</v>
      </c>
      <c r="E213">
        <v>5249</v>
      </c>
      <c r="F213" s="50">
        <v>251437.70449999999</v>
      </c>
      <c r="G213" s="50">
        <v>46127.1901</v>
      </c>
      <c r="H213" s="122">
        <v>220669.52</v>
      </c>
    </row>
    <row r="214" spans="1:8" x14ac:dyDescent="0.3">
      <c r="A214" t="str">
        <f t="shared" si="3"/>
        <v>45764Winton Harness Racing Club Inc</v>
      </c>
      <c r="B214" s="29">
        <v>45764</v>
      </c>
      <c r="C214" t="s">
        <v>159</v>
      </c>
      <c r="D214" t="s">
        <v>75</v>
      </c>
      <c r="E214">
        <v>9999</v>
      </c>
      <c r="F214" s="50">
        <v>811942.70139999897</v>
      </c>
      <c r="G214" s="50">
        <v>173812.69859999989</v>
      </c>
      <c r="H214" s="122">
        <v>311103</v>
      </c>
    </row>
    <row r="215" spans="1:8" x14ac:dyDescent="0.3">
      <c r="A215" t="str">
        <f t="shared" si="3"/>
        <v>45766NZ Metropolitan Trotting Club Inc</v>
      </c>
      <c r="B215" s="29">
        <v>45766</v>
      </c>
      <c r="C215" t="s">
        <v>161</v>
      </c>
      <c r="D215" t="s">
        <v>80</v>
      </c>
      <c r="E215">
        <v>11734</v>
      </c>
      <c r="F215" s="50">
        <v>888336.79609999899</v>
      </c>
      <c r="G215" s="50">
        <v>89177.898599999899</v>
      </c>
      <c r="H215" s="122">
        <v>233546.17</v>
      </c>
    </row>
    <row r="216" spans="1:8" x14ac:dyDescent="0.3">
      <c r="A216" t="str">
        <f t="shared" si="3"/>
        <v>45766Auckland Trotting Club Inc</v>
      </c>
      <c r="B216" s="29">
        <v>45766</v>
      </c>
      <c r="C216" t="s">
        <v>160</v>
      </c>
      <c r="D216" t="s">
        <v>78</v>
      </c>
      <c r="E216">
        <v>7173</v>
      </c>
      <c r="F216" s="50">
        <v>496563.78869999899</v>
      </c>
      <c r="G216" s="50">
        <v>107209.99400000001</v>
      </c>
      <c r="H216" s="125">
        <v>147742.66</v>
      </c>
    </row>
    <row r="217" spans="1:8" x14ac:dyDescent="0.3">
      <c r="A217" t="str">
        <f t="shared" si="3"/>
        <v>45768Banks Peninsula Trotting Club Inc</v>
      </c>
      <c r="B217" s="29">
        <v>45768</v>
      </c>
      <c r="C217" t="s">
        <v>161</v>
      </c>
      <c r="D217" t="s">
        <v>94</v>
      </c>
      <c r="E217">
        <v>12935</v>
      </c>
      <c r="F217" s="50">
        <v>961521.67719999887</v>
      </c>
      <c r="G217" s="50">
        <v>222908.1313999999</v>
      </c>
      <c r="H217" s="125">
        <v>279986.62</v>
      </c>
    </row>
    <row r="218" spans="1:8" x14ac:dyDescent="0.3">
      <c r="A218" t="str">
        <f t="shared" si="3"/>
        <v>45769Waikato Bay of Plenty Harness Inc</v>
      </c>
      <c r="B218" s="29">
        <v>45769</v>
      </c>
      <c r="C218" t="s">
        <v>162</v>
      </c>
      <c r="D218" t="s">
        <v>84</v>
      </c>
      <c r="E218">
        <v>5690</v>
      </c>
      <c r="F218" s="50">
        <v>318381.02159999899</v>
      </c>
      <c r="G218" s="50">
        <v>72218.37329999989</v>
      </c>
      <c r="H218" s="125">
        <v>215492.5</v>
      </c>
    </row>
    <row r="219" spans="1:8" x14ac:dyDescent="0.3">
      <c r="A219" t="str">
        <f t="shared" si="3"/>
        <v>45771Invercargill Harness Racing Club Inc</v>
      </c>
      <c r="B219" s="29">
        <v>45771</v>
      </c>
      <c r="C219" t="s">
        <v>163</v>
      </c>
      <c r="D219" t="s">
        <v>85</v>
      </c>
      <c r="E219">
        <v>6869</v>
      </c>
      <c r="F219" s="50">
        <v>423297.18449999904</v>
      </c>
      <c r="G219" s="50">
        <v>99780.862499999901</v>
      </c>
      <c r="H219" s="125">
        <v>204966.83000000002</v>
      </c>
    </row>
    <row r="220" spans="1:8" x14ac:dyDescent="0.3">
      <c r="A220" t="str">
        <f t="shared" si="3"/>
        <v>45772NZ Metropolitan Trotting Club Inc</v>
      </c>
      <c r="B220" s="29">
        <v>45772</v>
      </c>
      <c r="C220" t="s">
        <v>161</v>
      </c>
      <c r="D220" t="s">
        <v>80</v>
      </c>
      <c r="E220">
        <v>15035</v>
      </c>
      <c r="F220" s="50">
        <v>966144.186099999</v>
      </c>
      <c r="G220" s="50">
        <v>240445.13089999993</v>
      </c>
      <c r="H220" s="125">
        <v>155227.09</v>
      </c>
    </row>
    <row r="221" spans="1:8" x14ac:dyDescent="0.3">
      <c r="A221" t="str">
        <f t="shared" si="3"/>
        <v>45772Auckland Trotting Club Inc</v>
      </c>
      <c r="B221" s="29">
        <v>45772</v>
      </c>
      <c r="C221" t="s">
        <v>189</v>
      </c>
      <c r="D221" t="s">
        <v>78</v>
      </c>
      <c r="E221">
        <v>12528</v>
      </c>
      <c r="F221" s="50">
        <v>1179696.7143999999</v>
      </c>
      <c r="G221" s="50">
        <v>106286.59319999989</v>
      </c>
      <c r="H221" s="125">
        <v>292606.44</v>
      </c>
    </row>
    <row r="222" spans="1:8" x14ac:dyDescent="0.3">
      <c r="A222" t="str">
        <f t="shared" si="3"/>
        <v>45774Rangiora Harness Racing Club Inc</v>
      </c>
      <c r="B222" s="29">
        <v>45774</v>
      </c>
      <c r="C222" t="s">
        <v>167</v>
      </c>
      <c r="D222" t="s">
        <v>89</v>
      </c>
      <c r="E222">
        <v>10606</v>
      </c>
      <c r="F222" s="50">
        <v>666112.10179999901</v>
      </c>
      <c r="G222" s="50">
        <v>85076.063299999892</v>
      </c>
      <c r="H222" s="125">
        <v>169920.78</v>
      </c>
    </row>
    <row r="223" spans="1:8" x14ac:dyDescent="0.3">
      <c r="A223" t="str">
        <f t="shared" si="3"/>
        <v>45774Invercargill Harness Racing Club Inc</v>
      </c>
      <c r="B223" s="29">
        <v>45774</v>
      </c>
      <c r="C223" t="s">
        <v>163</v>
      </c>
      <c r="D223" t="s">
        <v>85</v>
      </c>
      <c r="E223">
        <v>11645</v>
      </c>
      <c r="F223" s="50">
        <v>863430.68969999906</v>
      </c>
      <c r="G223" s="50">
        <v>196445.96399999989</v>
      </c>
      <c r="H223" s="50">
        <v>222233.55</v>
      </c>
    </row>
    <row r="224" spans="1:8" x14ac:dyDescent="0.3">
      <c r="A224" t="str">
        <f t="shared" si="3"/>
        <v>45776Manawatu Harness Racing Club Inc</v>
      </c>
      <c r="B224" s="29">
        <v>45776</v>
      </c>
      <c r="C224" t="s">
        <v>173</v>
      </c>
      <c r="D224" t="s">
        <v>101</v>
      </c>
      <c r="E224">
        <v>5578</v>
      </c>
      <c r="F224" s="50">
        <v>392211</v>
      </c>
      <c r="G224" s="50">
        <v>111257</v>
      </c>
      <c r="H224" s="50">
        <v>184091.56</v>
      </c>
    </row>
    <row r="225" spans="1:8" x14ac:dyDescent="0.3">
      <c r="A225" t="str">
        <f t="shared" si="3"/>
        <v>45777NZ Metropolitan Trotting Club Inc</v>
      </c>
      <c r="B225" s="29">
        <v>45777</v>
      </c>
      <c r="C225" t="s">
        <v>161</v>
      </c>
      <c r="D225" t="s">
        <v>80</v>
      </c>
      <c r="E225">
        <v>6230</v>
      </c>
      <c r="F225" s="50">
        <v>329367</v>
      </c>
      <c r="G225" s="50">
        <v>97441</v>
      </c>
      <c r="H225" s="50">
        <v>223912.52</v>
      </c>
    </row>
    <row r="226" spans="1:8" x14ac:dyDescent="0.3">
      <c r="A226" t="str">
        <f t="shared" si="3"/>
        <v>45778Manawatu Harness Racing Club Inc</v>
      </c>
      <c r="B226" s="29">
        <v>45778</v>
      </c>
      <c r="C226" t="s">
        <v>173</v>
      </c>
      <c r="D226" t="s">
        <v>101</v>
      </c>
      <c r="E226">
        <v>6295</v>
      </c>
      <c r="F226" s="50">
        <v>397764</v>
      </c>
      <c r="G226" s="50">
        <v>29023</v>
      </c>
      <c r="H226" s="50">
        <v>190504.7</v>
      </c>
    </row>
    <row r="227" spans="1:8" x14ac:dyDescent="0.3">
      <c r="A227" t="str">
        <f t="shared" ref="A227:A257" si="4">B227&amp;D227</f>
        <v>45779NZ Metropolitan Trotting Club Inc</v>
      </c>
      <c r="B227" s="29">
        <v>45779</v>
      </c>
      <c r="C227" t="s">
        <v>161</v>
      </c>
      <c r="D227" t="s">
        <v>80</v>
      </c>
      <c r="E227">
        <v>12043</v>
      </c>
      <c r="F227" s="50">
        <v>841642</v>
      </c>
      <c r="G227" s="50">
        <v>222974</v>
      </c>
      <c r="H227" s="122">
        <v>310780.62</v>
      </c>
    </row>
    <row r="228" spans="1:8" x14ac:dyDescent="0.3">
      <c r="A228" t="str">
        <f t="shared" si="4"/>
        <v>45779Auckland Trotting Club Inc</v>
      </c>
      <c r="B228" s="29">
        <v>45779</v>
      </c>
      <c r="C228" t="s">
        <v>189</v>
      </c>
      <c r="D228" t="s">
        <v>78</v>
      </c>
      <c r="E228">
        <v>12455</v>
      </c>
      <c r="F228" s="50">
        <v>972488</v>
      </c>
      <c r="G228" s="50">
        <v>189391</v>
      </c>
      <c r="H228" s="122">
        <v>354528.76</v>
      </c>
    </row>
    <row r="229" spans="1:8" x14ac:dyDescent="0.3">
      <c r="A229" t="str">
        <f t="shared" si="4"/>
        <v>45781Riverton Trotting Club Inc</v>
      </c>
      <c r="B229" s="29">
        <v>45781</v>
      </c>
      <c r="C229" t="s">
        <v>159</v>
      </c>
      <c r="D229" t="s">
        <v>113</v>
      </c>
      <c r="E229">
        <v>8520</v>
      </c>
      <c r="F229" s="50">
        <v>495379</v>
      </c>
      <c r="G229" s="50">
        <v>123012</v>
      </c>
      <c r="H229" s="122">
        <v>189662.49</v>
      </c>
    </row>
    <row r="230" spans="1:8" x14ac:dyDescent="0.3">
      <c r="A230" t="str">
        <f t="shared" si="4"/>
        <v>45781Rangiora Harness Racing Club Inc</v>
      </c>
      <c r="B230" s="29">
        <v>45781</v>
      </c>
      <c r="C230" t="s">
        <v>167</v>
      </c>
      <c r="D230" t="s">
        <v>89</v>
      </c>
      <c r="E230">
        <v>11106</v>
      </c>
      <c r="F230" s="50">
        <v>776019</v>
      </c>
      <c r="G230" s="50">
        <v>176542</v>
      </c>
      <c r="H230" s="122">
        <v>156918.68</v>
      </c>
    </row>
    <row r="231" spans="1:8" x14ac:dyDescent="0.3">
      <c r="A231" t="str">
        <f t="shared" si="4"/>
        <v>45783Waikato Bay of Plenty Harness Inc</v>
      </c>
      <c r="B231" s="29">
        <v>45783</v>
      </c>
      <c r="C231" t="s">
        <v>162</v>
      </c>
      <c r="D231" t="s">
        <v>84</v>
      </c>
      <c r="E231">
        <v>5435</v>
      </c>
      <c r="F231" s="50">
        <v>324948</v>
      </c>
      <c r="G231" s="50">
        <v>62442</v>
      </c>
      <c r="H231" s="122">
        <v>181630.03</v>
      </c>
    </row>
    <row r="232" spans="1:8" x14ac:dyDescent="0.3">
      <c r="A232" t="str">
        <f t="shared" si="4"/>
        <v>45784NZ Metropolitan Trotting Club Inc</v>
      </c>
      <c r="B232" s="29">
        <v>45784</v>
      </c>
      <c r="C232" t="s">
        <v>161</v>
      </c>
      <c r="D232" t="s">
        <v>80</v>
      </c>
      <c r="E232">
        <v>6498</v>
      </c>
      <c r="F232" s="50">
        <v>368145</v>
      </c>
      <c r="G232" s="50">
        <v>83805</v>
      </c>
      <c r="H232" s="122">
        <v>150332.18</v>
      </c>
    </row>
    <row r="233" spans="1:8" x14ac:dyDescent="0.3">
      <c r="A233" t="str">
        <f t="shared" si="4"/>
        <v>45785Winton Harness Racing Club Inc</v>
      </c>
      <c r="B233" s="29">
        <v>45785</v>
      </c>
      <c r="C233" t="s">
        <v>159</v>
      </c>
      <c r="D233" t="s">
        <v>75</v>
      </c>
      <c r="E233">
        <v>5960</v>
      </c>
      <c r="F233" s="50">
        <v>327151</v>
      </c>
      <c r="G233" s="50">
        <v>47532</v>
      </c>
      <c r="H233" s="122">
        <v>184088.44</v>
      </c>
    </row>
    <row r="234" spans="1:8" x14ac:dyDescent="0.3">
      <c r="A234" t="str">
        <f t="shared" si="4"/>
        <v>45786NZ Metropolitan Trotting Club Inc</v>
      </c>
      <c r="B234" s="29">
        <v>45786</v>
      </c>
      <c r="C234" t="s">
        <v>161</v>
      </c>
      <c r="D234" t="s">
        <v>80</v>
      </c>
      <c r="E234">
        <v>12220</v>
      </c>
      <c r="F234" s="50">
        <v>949015</v>
      </c>
      <c r="G234" s="50">
        <v>258546</v>
      </c>
      <c r="H234" s="122">
        <v>262030.82</v>
      </c>
    </row>
    <row r="235" spans="1:8" x14ac:dyDescent="0.3">
      <c r="A235" t="str">
        <f t="shared" si="4"/>
        <v>45786Auckland Trotting Club Inc</v>
      </c>
      <c r="B235" s="29">
        <v>45786</v>
      </c>
      <c r="C235" t="s">
        <v>160</v>
      </c>
      <c r="D235" t="s">
        <v>78</v>
      </c>
      <c r="E235">
        <v>4865</v>
      </c>
      <c r="F235" s="50">
        <v>133498</v>
      </c>
      <c r="G235" s="50">
        <v>58119</v>
      </c>
      <c r="H235" s="122">
        <v>27553.81</v>
      </c>
    </row>
    <row r="236" spans="1:8" x14ac:dyDescent="0.3">
      <c r="A236" t="str">
        <f t="shared" si="4"/>
        <v>45787Auckland Trotting Club Inc</v>
      </c>
      <c r="B236" s="29">
        <v>45787</v>
      </c>
      <c r="C236" t="s">
        <v>160</v>
      </c>
      <c r="D236" t="s">
        <v>78</v>
      </c>
      <c r="E236">
        <v>7933</v>
      </c>
      <c r="F236" s="50">
        <v>583617</v>
      </c>
      <c r="G236" s="50">
        <v>155918</v>
      </c>
      <c r="H236" s="122">
        <v>238919.92</v>
      </c>
    </row>
    <row r="237" spans="1:8" x14ac:dyDescent="0.3">
      <c r="A237" t="str">
        <f t="shared" si="4"/>
        <v>45788Ashburton Trotting Club Inc</v>
      </c>
      <c r="B237" s="29">
        <v>45788</v>
      </c>
      <c r="C237" t="s">
        <v>164</v>
      </c>
      <c r="D237" t="s">
        <v>86</v>
      </c>
      <c r="E237">
        <v>10185</v>
      </c>
      <c r="F237" s="50">
        <v>652271</v>
      </c>
      <c r="G237" s="50">
        <v>113522</v>
      </c>
      <c r="H237" s="122">
        <v>146989.93</v>
      </c>
    </row>
    <row r="238" spans="1:8" x14ac:dyDescent="0.3">
      <c r="A238" t="str">
        <f t="shared" si="4"/>
        <v>45791NZ Metropolitan Trotting Club Inc</v>
      </c>
      <c r="B238" s="29">
        <v>45791</v>
      </c>
      <c r="C238" t="s">
        <v>197</v>
      </c>
      <c r="D238" t="s">
        <v>80</v>
      </c>
      <c r="E238">
        <v>6068</v>
      </c>
      <c r="F238" s="50">
        <v>298314</v>
      </c>
      <c r="G238" s="50">
        <v>91717</v>
      </c>
      <c r="H238" s="122">
        <v>182323.12</v>
      </c>
    </row>
    <row r="239" spans="1:8" x14ac:dyDescent="0.3">
      <c r="A239" t="str">
        <f t="shared" si="4"/>
        <v>45792Waikato Bay of Plenty Harness Inc</v>
      </c>
      <c r="B239" s="29">
        <v>45792</v>
      </c>
      <c r="C239" t="s">
        <v>196</v>
      </c>
      <c r="D239" t="s">
        <v>84</v>
      </c>
      <c r="E239">
        <v>6789</v>
      </c>
      <c r="F239" s="50">
        <v>434936</v>
      </c>
      <c r="G239" s="50">
        <v>123233</v>
      </c>
      <c r="H239" s="122">
        <v>237821.74</v>
      </c>
    </row>
    <row r="240" spans="1:8" x14ac:dyDescent="0.3">
      <c r="A240" t="str">
        <f t="shared" si="4"/>
        <v>45793NZ Metropolitan Trotting Club Inc</v>
      </c>
      <c r="B240" s="29">
        <v>45793</v>
      </c>
      <c r="C240" t="s">
        <v>197</v>
      </c>
      <c r="D240" t="s">
        <v>80</v>
      </c>
      <c r="E240">
        <v>13046</v>
      </c>
      <c r="F240" s="50">
        <v>1042532</v>
      </c>
      <c r="G240" s="50">
        <v>87655</v>
      </c>
      <c r="H240" s="122">
        <v>376468.15</v>
      </c>
    </row>
    <row r="241" spans="1:8" x14ac:dyDescent="0.3">
      <c r="A241" t="str">
        <f t="shared" si="4"/>
        <v>45793Auckland Trotting Club Inc</v>
      </c>
      <c r="B241" s="29">
        <v>45793</v>
      </c>
      <c r="C241" t="s">
        <v>228</v>
      </c>
      <c r="D241" t="s">
        <v>78</v>
      </c>
      <c r="E241">
        <v>8250</v>
      </c>
      <c r="F241" s="50">
        <v>471737</v>
      </c>
      <c r="G241" s="50">
        <v>161969</v>
      </c>
      <c r="H241" s="122">
        <v>146238.96</v>
      </c>
    </row>
    <row r="242" spans="1:8" x14ac:dyDescent="0.3">
      <c r="A242" t="str">
        <f t="shared" si="4"/>
        <v>45795Rangiora Harness Racing Club Inc</v>
      </c>
      <c r="B242" s="29">
        <v>45795</v>
      </c>
      <c r="C242" t="s">
        <v>191</v>
      </c>
      <c r="D242" t="s">
        <v>89</v>
      </c>
      <c r="E242">
        <v>10976</v>
      </c>
      <c r="F242" s="50">
        <v>722332</v>
      </c>
      <c r="G242" s="50">
        <v>-23120</v>
      </c>
      <c r="H242" s="122">
        <v>171988.58</v>
      </c>
    </row>
    <row r="243" spans="1:8" x14ac:dyDescent="0.3">
      <c r="A243" t="str">
        <f t="shared" si="4"/>
        <v>45795Invercargill Harness Racing Club Inc</v>
      </c>
      <c r="B243" s="29">
        <v>45795</v>
      </c>
      <c r="C243" t="s">
        <v>195</v>
      </c>
      <c r="D243" t="s">
        <v>85</v>
      </c>
      <c r="E243">
        <v>8746</v>
      </c>
      <c r="F243" s="50">
        <v>439687</v>
      </c>
      <c r="G243" s="50">
        <v>57221</v>
      </c>
      <c r="H243" s="122">
        <v>109929.36</v>
      </c>
    </row>
    <row r="244" spans="1:8" x14ac:dyDescent="0.3">
      <c r="A244" t="str">
        <f t="shared" si="4"/>
        <v>45799Winton Harness Racing Club Inc</v>
      </c>
      <c r="B244" s="29">
        <v>45799</v>
      </c>
      <c r="C244" t="s">
        <v>229</v>
      </c>
      <c r="D244" t="s">
        <v>75</v>
      </c>
      <c r="E244">
        <v>6708</v>
      </c>
      <c r="F244" s="50">
        <v>502085</v>
      </c>
      <c r="G244" s="50">
        <v>82049</v>
      </c>
      <c r="H244" s="122">
        <v>227773.2</v>
      </c>
    </row>
    <row r="245" spans="1:8" x14ac:dyDescent="0.3">
      <c r="A245" t="str">
        <f t="shared" si="4"/>
        <v>45799Waikato Bay of Plenty Harness Inc</v>
      </c>
      <c r="B245" s="29">
        <v>45799</v>
      </c>
      <c r="C245" t="s">
        <v>196</v>
      </c>
      <c r="D245" t="s">
        <v>84</v>
      </c>
      <c r="E245">
        <v>6392</v>
      </c>
      <c r="F245" s="50">
        <v>365142</v>
      </c>
      <c r="G245" s="50">
        <v>63495</v>
      </c>
      <c r="H245" s="122">
        <v>205915.21</v>
      </c>
    </row>
    <row r="246" spans="1:8" x14ac:dyDescent="0.3">
      <c r="A246" t="str">
        <f t="shared" si="4"/>
        <v>45800Auckland Trotting Club Inc</v>
      </c>
      <c r="B246" s="29">
        <v>45800</v>
      </c>
      <c r="C246" t="s">
        <v>228</v>
      </c>
      <c r="D246" t="s">
        <v>78</v>
      </c>
      <c r="E246">
        <v>9416</v>
      </c>
      <c r="F246" s="50">
        <v>690498</v>
      </c>
      <c r="G246" s="50">
        <v>105192</v>
      </c>
      <c r="H246" s="122">
        <v>282475.09999999998</v>
      </c>
    </row>
    <row r="247" spans="1:8" x14ac:dyDescent="0.3">
      <c r="A247" t="str">
        <f t="shared" si="4"/>
        <v>45800NZ Metropolitan Trotting Club Inc</v>
      </c>
      <c r="B247" s="29">
        <v>45800</v>
      </c>
      <c r="C247" t="s">
        <v>197</v>
      </c>
      <c r="D247" t="s">
        <v>80</v>
      </c>
      <c r="E247">
        <v>13759</v>
      </c>
      <c r="F247" s="50">
        <v>1120087</v>
      </c>
      <c r="G247" s="50">
        <v>305984</v>
      </c>
      <c r="H247" s="122">
        <v>379934.41</v>
      </c>
    </row>
    <row r="248" spans="1:8" x14ac:dyDescent="0.3">
      <c r="A248" t="str">
        <f t="shared" si="4"/>
        <v>45802Timaru Harness Racing Club Inc</v>
      </c>
      <c r="B248" s="29">
        <v>45802</v>
      </c>
      <c r="C248" t="s">
        <v>194</v>
      </c>
      <c r="D248" t="s">
        <v>95</v>
      </c>
      <c r="E248">
        <v>10731</v>
      </c>
      <c r="F248" s="50">
        <v>783594</v>
      </c>
      <c r="G248" s="50">
        <v>29008</v>
      </c>
      <c r="H248" s="122">
        <v>148828.04999999999</v>
      </c>
    </row>
    <row r="249" spans="1:8" x14ac:dyDescent="0.3">
      <c r="A249" t="str">
        <f t="shared" si="4"/>
        <v>45806Waikato Bay of Plenty Harness Inc</v>
      </c>
      <c r="B249" s="29">
        <v>45806</v>
      </c>
      <c r="C249" t="s">
        <v>196</v>
      </c>
      <c r="D249" t="s">
        <v>84</v>
      </c>
      <c r="E249">
        <v>6570</v>
      </c>
      <c r="F249" s="50">
        <v>394383</v>
      </c>
      <c r="G249" s="50">
        <v>-10689</v>
      </c>
      <c r="H249" s="122">
        <v>185984.96</v>
      </c>
    </row>
    <row r="250" spans="1:8" x14ac:dyDescent="0.3">
      <c r="A250" t="str">
        <f t="shared" si="4"/>
        <v>45807Auckland Trotting Club Inc</v>
      </c>
      <c r="B250" s="29">
        <v>45807</v>
      </c>
      <c r="C250" t="s">
        <v>228</v>
      </c>
      <c r="D250" t="s">
        <v>78</v>
      </c>
      <c r="E250">
        <v>9230</v>
      </c>
      <c r="F250" s="50">
        <v>653173</v>
      </c>
      <c r="G250" s="50">
        <v>100268</v>
      </c>
      <c r="H250" s="122">
        <v>209964.65</v>
      </c>
    </row>
    <row r="251" spans="1:8" x14ac:dyDescent="0.3">
      <c r="A251" t="str">
        <f t="shared" si="4"/>
        <v>45807NZ Metropolitan Trotting Club Inc</v>
      </c>
      <c r="B251" s="29">
        <v>45807</v>
      </c>
      <c r="C251" t="s">
        <v>197</v>
      </c>
      <c r="D251" t="s">
        <v>80</v>
      </c>
      <c r="E251">
        <v>12361</v>
      </c>
      <c r="F251" s="50">
        <v>962021</v>
      </c>
      <c r="G251" s="50">
        <v>95377</v>
      </c>
      <c r="H251" s="122">
        <v>308315.45</v>
      </c>
    </row>
    <row r="252" spans="1:8" x14ac:dyDescent="0.3">
      <c r="A252" t="str">
        <f t="shared" si="4"/>
        <v>45809Ashburton Trotting Club Inc</v>
      </c>
      <c r="B252" s="29">
        <v>45809</v>
      </c>
      <c r="C252" t="s">
        <v>230</v>
      </c>
      <c r="D252" t="s">
        <v>86</v>
      </c>
      <c r="E252">
        <v>12690</v>
      </c>
      <c r="F252" s="50">
        <v>1066577</v>
      </c>
      <c r="G252" s="50">
        <v>143716</v>
      </c>
    </row>
    <row r="253" spans="1:8" x14ac:dyDescent="0.3">
      <c r="A253" t="str">
        <f t="shared" si="4"/>
        <v>45810Invercargill Harness Racing Club Inc</v>
      </c>
      <c r="B253" s="29">
        <v>45810</v>
      </c>
      <c r="C253" t="s">
        <v>195</v>
      </c>
      <c r="D253" t="s">
        <v>85</v>
      </c>
      <c r="E253">
        <v>11158</v>
      </c>
      <c r="F253" s="50">
        <v>843064</v>
      </c>
      <c r="G253" s="50">
        <v>122660</v>
      </c>
    </row>
    <row r="254" spans="1:8" x14ac:dyDescent="0.3">
      <c r="A254" t="str">
        <f t="shared" si="4"/>
        <v>45813Waikato Bay of Plenty Harness Inc</v>
      </c>
      <c r="B254" s="29">
        <v>45813</v>
      </c>
      <c r="C254" t="s">
        <v>196</v>
      </c>
      <c r="D254" t="s">
        <v>84</v>
      </c>
      <c r="E254">
        <v>5791</v>
      </c>
      <c r="F254" s="50">
        <v>342938</v>
      </c>
      <c r="G254" s="50">
        <v>66817</v>
      </c>
    </row>
    <row r="255" spans="1:8" x14ac:dyDescent="0.3">
      <c r="A255" t="str">
        <f t="shared" si="4"/>
        <v>45814NZ Metropolitan Trotting Club Inc</v>
      </c>
      <c r="B255" s="29">
        <v>45814</v>
      </c>
      <c r="C255" t="s">
        <v>197</v>
      </c>
      <c r="D255" t="s">
        <v>80</v>
      </c>
      <c r="E255">
        <v>12354</v>
      </c>
      <c r="F255" s="50">
        <v>947303</v>
      </c>
      <c r="G255" s="50">
        <v>144697</v>
      </c>
    </row>
    <row r="256" spans="1:8" x14ac:dyDescent="0.3">
      <c r="A256" t="str">
        <f t="shared" si="4"/>
        <v>45814Auckland Trotting Club Inc</v>
      </c>
      <c r="B256" s="29">
        <v>45814</v>
      </c>
      <c r="C256" t="s">
        <v>228</v>
      </c>
      <c r="D256" t="s">
        <v>78</v>
      </c>
      <c r="E256">
        <v>9058</v>
      </c>
      <c r="F256" s="50">
        <v>547236</v>
      </c>
      <c r="G256" s="50">
        <v>108253</v>
      </c>
    </row>
    <row r="257" spans="1:7" x14ac:dyDescent="0.3">
      <c r="A257" t="str">
        <f t="shared" si="4"/>
        <v>45816NZ Metropolitan Trotting Club Inc</v>
      </c>
      <c r="B257" s="29">
        <v>45816</v>
      </c>
      <c r="C257" t="s">
        <v>197</v>
      </c>
      <c r="D257" t="s">
        <v>80</v>
      </c>
      <c r="E257">
        <v>11569</v>
      </c>
      <c r="F257" s="50">
        <v>869831</v>
      </c>
      <c r="G257" s="50">
        <v>148075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D697-143C-4F8A-892A-5A51EDBE4233}">
  <dimension ref="A1:AA243"/>
  <sheetViews>
    <sheetView workbookViewId="0">
      <selection sqref="A1:Y243"/>
    </sheetView>
  </sheetViews>
  <sheetFormatPr defaultRowHeight="14.4" x14ac:dyDescent="0.3"/>
  <cols>
    <col min="1" max="1" width="10.6640625" bestFit="1" customWidth="1"/>
    <col min="2" max="2" width="16.109375" bestFit="1" customWidth="1"/>
    <col min="3" max="3" width="10.5546875" bestFit="1" customWidth="1"/>
    <col min="4" max="4" width="15.109375" bestFit="1" customWidth="1"/>
    <col min="5" max="5" width="18.44140625" bestFit="1" customWidth="1"/>
    <col min="6" max="6" width="31.6640625" bestFit="1" customWidth="1"/>
    <col min="7" max="7" width="11.6640625" bestFit="1" customWidth="1"/>
    <col min="8" max="8" width="12.44140625" bestFit="1" customWidth="1"/>
    <col min="9" max="9" width="14.33203125" bestFit="1" customWidth="1"/>
    <col min="10" max="10" width="14.88671875" bestFit="1" customWidth="1"/>
    <col min="11" max="11" width="9.88671875" bestFit="1" customWidth="1"/>
    <col min="12" max="12" width="13.33203125" bestFit="1" customWidth="1"/>
    <col min="13" max="13" width="25.6640625" bestFit="1" customWidth="1"/>
    <col min="14" max="14" width="16.88671875" bestFit="1" customWidth="1"/>
    <col min="15" max="15" width="11.88671875" bestFit="1" customWidth="1"/>
    <col min="16" max="16" width="10.5546875" bestFit="1" customWidth="1"/>
    <col min="17" max="17" width="8" bestFit="1" customWidth="1"/>
    <col min="18" max="18" width="17.5546875" bestFit="1" customWidth="1"/>
    <col min="19" max="19" width="12" bestFit="1" customWidth="1"/>
    <col min="20" max="20" width="14.6640625" bestFit="1" customWidth="1"/>
    <col min="21" max="21" width="21.88671875" bestFit="1" customWidth="1"/>
    <col min="22" max="22" width="26.33203125" bestFit="1" customWidth="1"/>
    <col min="23" max="23" width="11.109375" bestFit="1" customWidth="1"/>
    <col min="24" max="24" width="12.33203125" bestFit="1" customWidth="1"/>
    <col min="25" max="25" width="20.44140625" bestFit="1" customWidth="1"/>
    <col min="26" max="26" width="9" bestFit="1" customWidth="1"/>
    <col min="27" max="27" width="9.6640625" bestFit="1" customWidth="1"/>
  </cols>
  <sheetData>
    <row r="1" spans="1:27" x14ac:dyDescent="0.3">
      <c r="A1" t="s">
        <v>198</v>
      </c>
      <c r="B1" t="s">
        <v>199</v>
      </c>
      <c r="C1" t="s">
        <v>200</v>
      </c>
      <c r="D1" t="s">
        <v>201</v>
      </c>
      <c r="E1" t="s">
        <v>202</v>
      </c>
      <c r="F1" t="s">
        <v>203</v>
      </c>
      <c r="G1" t="s">
        <v>204</v>
      </c>
      <c r="H1" t="s">
        <v>205</v>
      </c>
      <c r="I1" t="s">
        <v>206</v>
      </c>
      <c r="J1" t="s">
        <v>207</v>
      </c>
      <c r="K1" t="s">
        <v>208</v>
      </c>
      <c r="L1" t="s">
        <v>209</v>
      </c>
      <c r="M1" t="s">
        <v>210</v>
      </c>
      <c r="N1" t="s">
        <v>211</v>
      </c>
      <c r="O1" t="s">
        <v>212</v>
      </c>
      <c r="P1" t="s">
        <v>213</v>
      </c>
      <c r="Q1" t="s">
        <v>57</v>
      </c>
      <c r="R1" t="s">
        <v>214</v>
      </c>
      <c r="S1" t="s">
        <v>215</v>
      </c>
      <c r="T1" t="s">
        <v>216</v>
      </c>
      <c r="U1" t="s">
        <v>217</v>
      </c>
      <c r="V1" t="s">
        <v>218</v>
      </c>
      <c r="W1" t="s">
        <v>219</v>
      </c>
      <c r="X1" t="s">
        <v>220</v>
      </c>
      <c r="Y1" t="s">
        <v>221</v>
      </c>
      <c r="Z1" t="s">
        <v>66</v>
      </c>
      <c r="AA1" t="s">
        <v>67</v>
      </c>
    </row>
    <row r="2" spans="1:27" x14ac:dyDescent="0.3">
      <c r="A2">
        <v>1</v>
      </c>
      <c r="B2">
        <v>52557</v>
      </c>
      <c r="C2" s="29">
        <v>45141</v>
      </c>
      <c r="D2" t="s">
        <v>222</v>
      </c>
      <c r="E2" t="s">
        <v>74</v>
      </c>
      <c r="F2" t="s">
        <v>78</v>
      </c>
      <c r="G2" t="s">
        <v>79</v>
      </c>
      <c r="H2">
        <v>10</v>
      </c>
      <c r="I2">
        <v>87</v>
      </c>
      <c r="J2">
        <v>8.6999999999999993</v>
      </c>
      <c r="K2">
        <v>0.3</v>
      </c>
      <c r="L2">
        <v>154376</v>
      </c>
      <c r="M2">
        <v>15438</v>
      </c>
      <c r="N2">
        <v>0.77</v>
      </c>
      <c r="O2">
        <v>0.1</v>
      </c>
      <c r="P2">
        <v>730860</v>
      </c>
      <c r="Q2">
        <v>118894</v>
      </c>
      <c r="R2">
        <v>181740.29</v>
      </c>
      <c r="S2">
        <v>348399</v>
      </c>
      <c r="T2">
        <v>0.16300000000000001</v>
      </c>
      <c r="U2">
        <v>0.65400000000000003</v>
      </c>
      <c r="V2">
        <v>4.0209999999999999</v>
      </c>
      <c r="W2">
        <v>641930</v>
      </c>
      <c r="X2">
        <v>138825</v>
      </c>
      <c r="Y2">
        <v>0.216</v>
      </c>
      <c r="Z2">
        <v>8</v>
      </c>
      <c r="AA2" t="s">
        <v>142</v>
      </c>
    </row>
    <row r="3" spans="1:27" x14ac:dyDescent="0.3">
      <c r="A3">
        <v>2</v>
      </c>
      <c r="B3">
        <v>52560</v>
      </c>
      <c r="C3" s="29">
        <v>45142</v>
      </c>
      <c r="D3" t="s">
        <v>222</v>
      </c>
      <c r="E3" t="s">
        <v>77</v>
      </c>
      <c r="F3" t="s">
        <v>80</v>
      </c>
      <c r="G3" t="s">
        <v>81</v>
      </c>
      <c r="H3">
        <v>9</v>
      </c>
      <c r="I3">
        <v>81</v>
      </c>
      <c r="J3">
        <v>9</v>
      </c>
      <c r="K3">
        <v>0.55600000000000005</v>
      </c>
      <c r="L3">
        <v>118229</v>
      </c>
      <c r="M3">
        <v>13137</v>
      </c>
      <c r="N3">
        <v>1.333</v>
      </c>
      <c r="O3">
        <v>0.33300000000000002</v>
      </c>
      <c r="P3">
        <v>855754</v>
      </c>
      <c r="Q3">
        <v>157604</v>
      </c>
      <c r="R3">
        <v>157016.10999999999</v>
      </c>
      <c r="S3">
        <v>271604</v>
      </c>
      <c r="T3">
        <v>0.184</v>
      </c>
      <c r="U3">
        <v>1.004</v>
      </c>
      <c r="V3">
        <v>5.45</v>
      </c>
      <c r="W3">
        <v>881225</v>
      </c>
      <c r="X3">
        <v>83444</v>
      </c>
      <c r="Y3">
        <v>9.5000000000000001E-2</v>
      </c>
      <c r="Z3">
        <v>8</v>
      </c>
      <c r="AA3" t="s">
        <v>142</v>
      </c>
    </row>
    <row r="4" spans="1:27" x14ac:dyDescent="0.3">
      <c r="A4">
        <v>3</v>
      </c>
      <c r="B4">
        <v>52697</v>
      </c>
      <c r="C4" s="29">
        <v>45144</v>
      </c>
      <c r="D4" t="s">
        <v>222</v>
      </c>
      <c r="E4" t="s">
        <v>82</v>
      </c>
      <c r="F4" t="s">
        <v>80</v>
      </c>
      <c r="G4" t="s">
        <v>81</v>
      </c>
      <c r="H4">
        <v>8</v>
      </c>
      <c r="I4">
        <v>84</v>
      </c>
      <c r="J4">
        <v>10.5</v>
      </c>
      <c r="K4">
        <v>0.25</v>
      </c>
      <c r="L4">
        <v>77900</v>
      </c>
      <c r="M4">
        <v>9738</v>
      </c>
      <c r="N4">
        <v>0.80800000000000005</v>
      </c>
      <c r="O4">
        <v>0.125</v>
      </c>
      <c r="P4">
        <v>564775</v>
      </c>
      <c r="Q4">
        <v>62946</v>
      </c>
      <c r="R4">
        <v>116688.61</v>
      </c>
      <c r="S4">
        <v>147684</v>
      </c>
      <c r="T4">
        <v>0.111</v>
      </c>
      <c r="U4">
        <v>0.53900000000000003</v>
      </c>
      <c r="V4">
        <v>4.84</v>
      </c>
      <c r="W4">
        <v>509733</v>
      </c>
      <c r="X4">
        <v>135072</v>
      </c>
      <c r="Y4">
        <v>0.26500000000000001</v>
      </c>
      <c r="Z4">
        <v>8</v>
      </c>
      <c r="AA4" t="s">
        <v>142</v>
      </c>
    </row>
    <row r="5" spans="1:27" x14ac:dyDescent="0.3">
      <c r="A5">
        <v>4</v>
      </c>
      <c r="B5">
        <v>52370</v>
      </c>
      <c r="C5" s="29">
        <v>45148</v>
      </c>
      <c r="D5" t="s">
        <v>222</v>
      </c>
      <c r="E5" t="s">
        <v>74</v>
      </c>
      <c r="F5" t="s">
        <v>75</v>
      </c>
      <c r="G5" t="s">
        <v>76</v>
      </c>
      <c r="H5">
        <v>7</v>
      </c>
      <c r="I5">
        <v>63</v>
      </c>
      <c r="J5">
        <v>9</v>
      </c>
      <c r="K5">
        <v>0.57099999999999995</v>
      </c>
      <c r="L5">
        <v>75625</v>
      </c>
      <c r="M5">
        <v>10804</v>
      </c>
      <c r="N5">
        <v>0.70899999999999996</v>
      </c>
      <c r="O5">
        <v>0.14299999999999999</v>
      </c>
      <c r="P5">
        <v>369434</v>
      </c>
      <c r="Q5">
        <v>53624</v>
      </c>
      <c r="R5">
        <v>100794.55</v>
      </c>
      <c r="S5">
        <v>158909</v>
      </c>
      <c r="T5">
        <v>0.14499999999999999</v>
      </c>
      <c r="U5">
        <v>0.53200000000000003</v>
      </c>
      <c r="V5">
        <v>3.665</v>
      </c>
      <c r="W5">
        <v>0</v>
      </c>
      <c r="X5">
        <v>0</v>
      </c>
      <c r="Y5">
        <v>0</v>
      </c>
      <c r="Z5">
        <v>8</v>
      </c>
      <c r="AA5" t="s">
        <v>142</v>
      </c>
    </row>
    <row r="6" spans="1:27" x14ac:dyDescent="0.3">
      <c r="A6">
        <v>5</v>
      </c>
      <c r="B6">
        <v>52558</v>
      </c>
      <c r="C6" s="29">
        <v>45148</v>
      </c>
      <c r="D6" t="s">
        <v>222</v>
      </c>
      <c r="E6" t="s">
        <v>74</v>
      </c>
      <c r="F6" t="s">
        <v>84</v>
      </c>
      <c r="G6" t="s">
        <v>79</v>
      </c>
      <c r="H6">
        <v>9</v>
      </c>
      <c r="I6">
        <v>80</v>
      </c>
      <c r="J6">
        <v>8.9</v>
      </c>
      <c r="K6">
        <v>0.77800000000000002</v>
      </c>
      <c r="L6">
        <v>104567</v>
      </c>
      <c r="M6">
        <v>11619</v>
      </c>
      <c r="N6">
        <v>7.3999999999999996E-2</v>
      </c>
      <c r="O6">
        <v>0.111</v>
      </c>
      <c r="P6">
        <v>568899</v>
      </c>
      <c r="Q6">
        <v>7762</v>
      </c>
      <c r="R6">
        <v>131080.14000000001</v>
      </c>
      <c r="S6">
        <v>269201</v>
      </c>
      <c r="T6">
        <v>1.4E-2</v>
      </c>
      <c r="U6">
        <v>5.8999999999999997E-2</v>
      </c>
      <c r="V6">
        <v>4.34</v>
      </c>
      <c r="W6">
        <v>576760</v>
      </c>
      <c r="X6">
        <v>81861</v>
      </c>
      <c r="Y6">
        <v>0.14199999999999999</v>
      </c>
      <c r="Z6">
        <v>8</v>
      </c>
      <c r="AA6" t="s">
        <v>142</v>
      </c>
    </row>
    <row r="7" spans="1:27" x14ac:dyDescent="0.3">
      <c r="A7">
        <v>6</v>
      </c>
      <c r="B7">
        <v>52698</v>
      </c>
      <c r="C7" s="29">
        <v>45149</v>
      </c>
      <c r="D7" t="s">
        <v>222</v>
      </c>
      <c r="E7" t="s">
        <v>77</v>
      </c>
      <c r="F7" t="s">
        <v>80</v>
      </c>
      <c r="G7" t="s">
        <v>81</v>
      </c>
      <c r="H7">
        <v>9</v>
      </c>
      <c r="I7">
        <v>77</v>
      </c>
      <c r="J7">
        <v>8.6</v>
      </c>
      <c r="K7">
        <v>0.66700000000000004</v>
      </c>
      <c r="L7">
        <v>123433</v>
      </c>
      <c r="M7">
        <v>13715</v>
      </c>
      <c r="N7">
        <v>0.70899999999999996</v>
      </c>
      <c r="O7">
        <v>0</v>
      </c>
      <c r="P7">
        <v>800415</v>
      </c>
      <c r="Q7">
        <v>87482</v>
      </c>
      <c r="R7">
        <v>162121.10999999999</v>
      </c>
      <c r="S7">
        <v>260712</v>
      </c>
      <c r="T7">
        <v>0.109</v>
      </c>
      <c r="U7">
        <v>0.54</v>
      </c>
      <c r="V7">
        <v>4.9370000000000003</v>
      </c>
      <c r="W7">
        <v>964789</v>
      </c>
      <c r="X7">
        <v>108826</v>
      </c>
      <c r="Y7">
        <v>0.113</v>
      </c>
      <c r="Z7">
        <v>8</v>
      </c>
      <c r="AA7" t="s">
        <v>142</v>
      </c>
    </row>
    <row r="8" spans="1:27" x14ac:dyDescent="0.3">
      <c r="A8">
        <v>7</v>
      </c>
      <c r="B8">
        <v>52699</v>
      </c>
      <c r="C8" s="29">
        <v>45151</v>
      </c>
      <c r="D8" t="s">
        <v>222</v>
      </c>
      <c r="E8" t="s">
        <v>82</v>
      </c>
      <c r="F8" t="s">
        <v>86</v>
      </c>
      <c r="G8" t="s">
        <v>81</v>
      </c>
      <c r="H8">
        <v>8</v>
      </c>
      <c r="I8">
        <v>92</v>
      </c>
      <c r="J8">
        <v>11.5</v>
      </c>
      <c r="K8">
        <v>0.375</v>
      </c>
      <c r="L8">
        <v>82265</v>
      </c>
      <c r="M8">
        <v>10283</v>
      </c>
      <c r="N8">
        <v>2.294</v>
      </c>
      <c r="O8">
        <v>0.25</v>
      </c>
      <c r="P8">
        <v>818411</v>
      </c>
      <c r="Q8">
        <v>188685</v>
      </c>
      <c r="R8">
        <v>111839</v>
      </c>
      <c r="S8">
        <v>207416</v>
      </c>
      <c r="T8">
        <v>0.23100000000000001</v>
      </c>
      <c r="U8">
        <v>1.6870000000000001</v>
      </c>
      <c r="V8">
        <v>7.3179999999999996</v>
      </c>
      <c r="W8">
        <v>622417</v>
      </c>
      <c r="X8">
        <v>110148</v>
      </c>
      <c r="Y8">
        <v>0.17699999999999999</v>
      </c>
      <c r="Z8">
        <v>8</v>
      </c>
      <c r="AA8" t="s">
        <v>142</v>
      </c>
    </row>
    <row r="9" spans="1:27" x14ac:dyDescent="0.3">
      <c r="A9">
        <v>8</v>
      </c>
      <c r="B9">
        <v>52559</v>
      </c>
      <c r="C9" s="29">
        <v>45155</v>
      </c>
      <c r="D9" t="s">
        <v>222</v>
      </c>
      <c r="E9" t="s">
        <v>74</v>
      </c>
      <c r="F9" t="s">
        <v>78</v>
      </c>
      <c r="G9" t="s">
        <v>79</v>
      </c>
      <c r="H9">
        <v>8</v>
      </c>
      <c r="I9">
        <v>72</v>
      </c>
      <c r="J9">
        <v>9</v>
      </c>
      <c r="K9">
        <v>0.25</v>
      </c>
      <c r="L9">
        <v>122262</v>
      </c>
      <c r="M9">
        <v>15283</v>
      </c>
      <c r="N9">
        <v>1.127</v>
      </c>
      <c r="O9">
        <v>0</v>
      </c>
      <c r="P9">
        <v>580961</v>
      </c>
      <c r="Q9">
        <v>137781</v>
      </c>
      <c r="R9">
        <v>149527.79</v>
      </c>
      <c r="S9">
        <v>246745</v>
      </c>
      <c r="T9">
        <v>0.23699999999999999</v>
      </c>
      <c r="U9">
        <v>0.92100000000000004</v>
      </c>
      <c r="V9">
        <v>3.8849999999999998</v>
      </c>
      <c r="W9">
        <v>681156</v>
      </c>
      <c r="X9">
        <v>98043</v>
      </c>
      <c r="Y9">
        <v>0.14399999999999999</v>
      </c>
      <c r="Z9">
        <v>8</v>
      </c>
      <c r="AA9" t="s">
        <v>142</v>
      </c>
    </row>
    <row r="10" spans="1:27" x14ac:dyDescent="0.3">
      <c r="A10">
        <v>9</v>
      </c>
      <c r="B10">
        <v>52700</v>
      </c>
      <c r="C10" s="29">
        <v>45156</v>
      </c>
      <c r="D10" t="s">
        <v>222</v>
      </c>
      <c r="E10" t="s">
        <v>77</v>
      </c>
      <c r="F10" t="s">
        <v>80</v>
      </c>
      <c r="G10" t="s">
        <v>81</v>
      </c>
      <c r="H10">
        <v>9</v>
      </c>
      <c r="I10">
        <v>86</v>
      </c>
      <c r="J10">
        <v>9.6</v>
      </c>
      <c r="K10">
        <v>0.44400000000000001</v>
      </c>
      <c r="L10">
        <v>124630</v>
      </c>
      <c r="M10">
        <v>13848</v>
      </c>
      <c r="N10">
        <v>1.806</v>
      </c>
      <c r="O10">
        <v>0</v>
      </c>
      <c r="P10">
        <v>869712</v>
      </c>
      <c r="Q10">
        <v>225097</v>
      </c>
      <c r="R10">
        <v>163417.35999999999</v>
      </c>
      <c r="S10">
        <v>328905</v>
      </c>
      <c r="T10">
        <v>0.25900000000000001</v>
      </c>
      <c r="U10">
        <v>1.377</v>
      </c>
      <c r="V10">
        <v>5.3220000000000001</v>
      </c>
      <c r="W10">
        <v>949321</v>
      </c>
      <c r="X10">
        <v>249132</v>
      </c>
      <c r="Y10">
        <v>0.26200000000000001</v>
      </c>
      <c r="Z10">
        <v>8</v>
      </c>
      <c r="AA10" t="s">
        <v>142</v>
      </c>
    </row>
    <row r="11" spans="1:27" x14ac:dyDescent="0.3">
      <c r="A11">
        <v>10</v>
      </c>
      <c r="B11">
        <v>52382</v>
      </c>
      <c r="C11" s="29">
        <v>45158</v>
      </c>
      <c r="D11" t="s">
        <v>222</v>
      </c>
      <c r="E11" t="s">
        <v>82</v>
      </c>
      <c r="F11" t="s">
        <v>87</v>
      </c>
      <c r="G11" t="s">
        <v>76</v>
      </c>
      <c r="H11">
        <v>10</v>
      </c>
      <c r="I11">
        <v>93</v>
      </c>
      <c r="J11">
        <v>9.3000000000000007</v>
      </c>
      <c r="K11">
        <v>0.2</v>
      </c>
      <c r="L11">
        <v>128402</v>
      </c>
      <c r="M11">
        <v>12590</v>
      </c>
      <c r="N11">
        <v>1.476</v>
      </c>
      <c r="O11">
        <v>0.3</v>
      </c>
      <c r="P11">
        <v>905605</v>
      </c>
      <c r="Q11">
        <v>189527</v>
      </c>
      <c r="R11">
        <v>143020.79999999999</v>
      </c>
      <c r="S11">
        <v>185283</v>
      </c>
      <c r="T11">
        <v>0.20899999999999999</v>
      </c>
      <c r="U11">
        <v>1.325</v>
      </c>
      <c r="V11">
        <v>6.3319999999999999</v>
      </c>
      <c r="W11">
        <v>810606</v>
      </c>
      <c r="X11">
        <v>163869</v>
      </c>
      <c r="Y11">
        <v>0.20200000000000001</v>
      </c>
      <c r="Z11">
        <v>8</v>
      </c>
      <c r="AA11" t="s">
        <v>142</v>
      </c>
    </row>
    <row r="12" spans="1:27" x14ac:dyDescent="0.3">
      <c r="A12">
        <v>11</v>
      </c>
      <c r="B12">
        <v>52371</v>
      </c>
      <c r="C12" s="29">
        <v>45162</v>
      </c>
      <c r="D12" t="s">
        <v>222</v>
      </c>
      <c r="E12" t="s">
        <v>74</v>
      </c>
      <c r="F12" t="s">
        <v>88</v>
      </c>
      <c r="G12" t="s">
        <v>76</v>
      </c>
      <c r="H12">
        <v>9</v>
      </c>
      <c r="I12">
        <v>81</v>
      </c>
      <c r="J12">
        <v>9</v>
      </c>
      <c r="K12">
        <v>0.55600000000000005</v>
      </c>
      <c r="L12">
        <v>91820</v>
      </c>
      <c r="M12">
        <v>10202</v>
      </c>
      <c r="N12">
        <v>0.35799999999999998</v>
      </c>
      <c r="O12">
        <v>0.111</v>
      </c>
      <c r="P12">
        <v>421878</v>
      </c>
      <c r="Q12">
        <v>32896</v>
      </c>
      <c r="R12">
        <v>122559.3</v>
      </c>
      <c r="S12">
        <v>228617</v>
      </c>
      <c r="T12">
        <v>7.8E-2</v>
      </c>
      <c r="U12">
        <v>0.26800000000000002</v>
      </c>
      <c r="V12">
        <v>3.4420000000000002</v>
      </c>
      <c r="W12">
        <v>362711</v>
      </c>
      <c r="X12">
        <v>99826</v>
      </c>
      <c r="Y12">
        <v>0.27500000000000002</v>
      </c>
      <c r="Z12">
        <v>8</v>
      </c>
      <c r="AA12" t="s">
        <v>142</v>
      </c>
    </row>
    <row r="13" spans="1:27" x14ac:dyDescent="0.3">
      <c r="A13">
        <v>12</v>
      </c>
      <c r="B13">
        <v>52567</v>
      </c>
      <c r="C13" s="29">
        <v>45162</v>
      </c>
      <c r="D13" t="s">
        <v>222</v>
      </c>
      <c r="E13" t="s">
        <v>74</v>
      </c>
      <c r="F13" t="s">
        <v>84</v>
      </c>
      <c r="G13" t="s">
        <v>79</v>
      </c>
      <c r="H13">
        <v>9</v>
      </c>
      <c r="I13">
        <v>91</v>
      </c>
      <c r="J13">
        <v>10.1</v>
      </c>
      <c r="K13">
        <v>0.222</v>
      </c>
      <c r="L13">
        <v>105377</v>
      </c>
      <c r="M13">
        <v>10598</v>
      </c>
      <c r="N13">
        <v>1.621</v>
      </c>
      <c r="O13">
        <v>0.111</v>
      </c>
      <c r="P13">
        <v>632811</v>
      </c>
      <c r="Q13">
        <v>170791</v>
      </c>
      <c r="R13">
        <v>121690.14</v>
      </c>
      <c r="S13">
        <v>317409</v>
      </c>
      <c r="T13">
        <v>0.27</v>
      </c>
      <c r="U13">
        <v>1.403</v>
      </c>
      <c r="V13">
        <v>5.2</v>
      </c>
      <c r="W13">
        <v>693731</v>
      </c>
      <c r="X13">
        <v>94514</v>
      </c>
      <c r="Y13">
        <v>0.13600000000000001</v>
      </c>
      <c r="Z13">
        <v>8</v>
      </c>
      <c r="AA13" t="s">
        <v>142</v>
      </c>
    </row>
    <row r="14" spans="1:27" x14ac:dyDescent="0.3">
      <c r="A14">
        <v>13</v>
      </c>
      <c r="B14">
        <v>52554</v>
      </c>
      <c r="C14" s="29">
        <v>45163</v>
      </c>
      <c r="D14" t="s">
        <v>222</v>
      </c>
      <c r="E14" t="s">
        <v>77</v>
      </c>
      <c r="F14" t="s">
        <v>80</v>
      </c>
      <c r="G14" t="s">
        <v>81</v>
      </c>
      <c r="H14">
        <v>10</v>
      </c>
      <c r="I14">
        <v>89</v>
      </c>
      <c r="J14">
        <v>8.9</v>
      </c>
      <c r="K14">
        <v>0.6</v>
      </c>
      <c r="L14">
        <v>187955</v>
      </c>
      <c r="M14">
        <v>18596</v>
      </c>
      <c r="N14">
        <v>1.1779999999999999</v>
      </c>
      <c r="O14">
        <v>0.1</v>
      </c>
      <c r="P14">
        <v>945503</v>
      </c>
      <c r="Q14">
        <v>221339</v>
      </c>
      <c r="R14">
        <v>224643.61</v>
      </c>
      <c r="S14">
        <v>383706</v>
      </c>
      <c r="T14">
        <v>0.23400000000000001</v>
      </c>
      <c r="U14">
        <v>0.98499999999999999</v>
      </c>
      <c r="V14">
        <v>4.2089999999999996</v>
      </c>
      <c r="W14">
        <v>920492</v>
      </c>
      <c r="X14">
        <v>212685</v>
      </c>
      <c r="Y14">
        <v>0.23100000000000001</v>
      </c>
      <c r="Z14">
        <v>8</v>
      </c>
      <c r="AA14" t="s">
        <v>142</v>
      </c>
    </row>
    <row r="15" spans="1:27" x14ac:dyDescent="0.3">
      <c r="A15">
        <v>14</v>
      </c>
      <c r="B15">
        <v>52733</v>
      </c>
      <c r="C15" s="29">
        <v>45165</v>
      </c>
      <c r="D15" t="s">
        <v>222</v>
      </c>
      <c r="E15" t="s">
        <v>82</v>
      </c>
      <c r="F15" t="s">
        <v>89</v>
      </c>
      <c r="G15" t="s">
        <v>81</v>
      </c>
      <c r="H15">
        <v>10</v>
      </c>
      <c r="I15">
        <v>115</v>
      </c>
      <c r="J15">
        <v>11.5</v>
      </c>
      <c r="K15">
        <v>0.3</v>
      </c>
      <c r="L15">
        <v>101248</v>
      </c>
      <c r="M15">
        <v>9625</v>
      </c>
      <c r="N15">
        <v>1.9179999999999999</v>
      </c>
      <c r="O15">
        <v>0.1</v>
      </c>
      <c r="P15">
        <v>786047</v>
      </c>
      <c r="Q15">
        <v>194159</v>
      </c>
      <c r="R15">
        <v>126021.5</v>
      </c>
      <c r="S15">
        <v>180886</v>
      </c>
      <c r="T15">
        <v>0.247</v>
      </c>
      <c r="U15">
        <v>1.5409999999999999</v>
      </c>
      <c r="V15">
        <v>6.2370000000000001</v>
      </c>
      <c r="W15">
        <v>769732</v>
      </c>
      <c r="X15">
        <v>171069</v>
      </c>
      <c r="Y15">
        <v>0.222</v>
      </c>
      <c r="Z15">
        <v>8</v>
      </c>
      <c r="AA15" t="s">
        <v>142</v>
      </c>
    </row>
    <row r="16" spans="1:27" x14ac:dyDescent="0.3">
      <c r="A16">
        <v>15</v>
      </c>
      <c r="B16">
        <v>52586</v>
      </c>
      <c r="C16" s="29">
        <v>45169</v>
      </c>
      <c r="D16" t="s">
        <v>222</v>
      </c>
      <c r="E16" t="s">
        <v>74</v>
      </c>
      <c r="F16" t="s">
        <v>78</v>
      </c>
      <c r="G16" t="s">
        <v>79</v>
      </c>
      <c r="H16">
        <v>10</v>
      </c>
      <c r="I16">
        <v>95</v>
      </c>
      <c r="J16">
        <v>9.5</v>
      </c>
      <c r="K16">
        <v>0</v>
      </c>
      <c r="L16">
        <v>165218</v>
      </c>
      <c r="M16">
        <v>15772</v>
      </c>
      <c r="N16">
        <v>1.3839999999999999</v>
      </c>
      <c r="O16">
        <v>0.1</v>
      </c>
      <c r="P16">
        <v>745478</v>
      </c>
      <c r="Q16">
        <v>228660</v>
      </c>
      <c r="R16">
        <v>185082.79</v>
      </c>
      <c r="S16">
        <v>358129</v>
      </c>
      <c r="T16">
        <v>0.307</v>
      </c>
      <c r="U16">
        <v>1.2350000000000001</v>
      </c>
      <c r="V16">
        <v>4.0279999999999996</v>
      </c>
      <c r="W16">
        <v>779042</v>
      </c>
      <c r="X16">
        <v>105846</v>
      </c>
      <c r="Y16">
        <v>0.13600000000000001</v>
      </c>
      <c r="Z16">
        <v>8</v>
      </c>
      <c r="AA16" t="s">
        <v>142</v>
      </c>
    </row>
    <row r="17" spans="1:27" x14ac:dyDescent="0.3">
      <c r="A17">
        <v>16</v>
      </c>
      <c r="B17">
        <v>52378</v>
      </c>
      <c r="C17" s="29">
        <v>45170</v>
      </c>
      <c r="D17" t="s">
        <v>222</v>
      </c>
      <c r="E17" t="s">
        <v>77</v>
      </c>
      <c r="F17" t="s">
        <v>75</v>
      </c>
      <c r="G17" t="s">
        <v>76</v>
      </c>
      <c r="H17">
        <v>7</v>
      </c>
      <c r="I17">
        <v>64</v>
      </c>
      <c r="J17">
        <v>9.1</v>
      </c>
      <c r="K17">
        <v>0.71399999999999997</v>
      </c>
      <c r="L17">
        <v>74150</v>
      </c>
      <c r="M17">
        <v>10593</v>
      </c>
      <c r="N17">
        <v>0.503</v>
      </c>
      <c r="O17">
        <v>0.28599999999999998</v>
      </c>
      <c r="P17">
        <v>411996</v>
      </c>
      <c r="Q17">
        <v>37275</v>
      </c>
      <c r="R17">
        <v>99119.55</v>
      </c>
      <c r="S17">
        <v>215384</v>
      </c>
      <c r="T17">
        <v>0.09</v>
      </c>
      <c r="U17">
        <v>0.376</v>
      </c>
      <c r="V17">
        <v>4.157</v>
      </c>
      <c r="W17">
        <v>0</v>
      </c>
      <c r="X17">
        <v>0</v>
      </c>
      <c r="Y17">
        <v>0</v>
      </c>
      <c r="Z17">
        <v>9</v>
      </c>
      <c r="AA17" t="s">
        <v>142</v>
      </c>
    </row>
    <row r="18" spans="1:27" x14ac:dyDescent="0.3">
      <c r="A18">
        <v>17</v>
      </c>
      <c r="B18">
        <v>52735</v>
      </c>
      <c r="C18" s="29">
        <v>45170</v>
      </c>
      <c r="D18" t="s">
        <v>222</v>
      </c>
      <c r="E18" t="s">
        <v>77</v>
      </c>
      <c r="F18" t="s">
        <v>80</v>
      </c>
      <c r="G18" t="s">
        <v>81</v>
      </c>
      <c r="H18">
        <v>10</v>
      </c>
      <c r="I18">
        <v>98</v>
      </c>
      <c r="J18">
        <v>9.8000000000000007</v>
      </c>
      <c r="K18">
        <v>0.3</v>
      </c>
      <c r="L18">
        <v>155716</v>
      </c>
      <c r="M18">
        <v>15572</v>
      </c>
      <c r="N18">
        <v>1.706</v>
      </c>
      <c r="O18">
        <v>0.1</v>
      </c>
      <c r="P18">
        <v>1022956</v>
      </c>
      <c r="Q18">
        <v>265574</v>
      </c>
      <c r="R18">
        <v>194506.11</v>
      </c>
      <c r="S18">
        <v>341123</v>
      </c>
      <c r="T18">
        <v>0.26</v>
      </c>
      <c r="U18">
        <v>1.365</v>
      </c>
      <c r="V18">
        <v>5.2590000000000003</v>
      </c>
      <c r="W18">
        <v>753332</v>
      </c>
      <c r="X18">
        <v>145770</v>
      </c>
      <c r="Y18">
        <v>0.19400000000000001</v>
      </c>
      <c r="Z18">
        <v>9</v>
      </c>
      <c r="AA18" t="s">
        <v>142</v>
      </c>
    </row>
    <row r="19" spans="1:27" x14ac:dyDescent="0.3">
      <c r="A19">
        <v>18</v>
      </c>
      <c r="B19">
        <v>52734</v>
      </c>
      <c r="C19" s="29">
        <v>45172</v>
      </c>
      <c r="D19" t="s">
        <v>222</v>
      </c>
      <c r="E19" t="s">
        <v>82</v>
      </c>
      <c r="F19" t="s">
        <v>86</v>
      </c>
      <c r="G19" t="s">
        <v>81</v>
      </c>
      <c r="H19">
        <v>10</v>
      </c>
      <c r="I19">
        <v>101</v>
      </c>
      <c r="J19">
        <v>10.1</v>
      </c>
      <c r="K19">
        <v>0.4</v>
      </c>
      <c r="L19">
        <v>99466</v>
      </c>
      <c r="M19">
        <v>9947</v>
      </c>
      <c r="N19">
        <v>1.6160000000000001</v>
      </c>
      <c r="O19">
        <v>0.1</v>
      </c>
      <c r="P19">
        <v>786759</v>
      </c>
      <c r="Q19">
        <v>160723</v>
      </c>
      <c r="R19">
        <v>129039</v>
      </c>
      <c r="S19">
        <v>153938</v>
      </c>
      <c r="T19">
        <v>0.20399999999999999</v>
      </c>
      <c r="U19">
        <v>1.246</v>
      </c>
      <c r="V19">
        <v>6.0970000000000004</v>
      </c>
      <c r="W19">
        <v>804009</v>
      </c>
      <c r="X19">
        <v>150695</v>
      </c>
      <c r="Y19">
        <v>0.187</v>
      </c>
      <c r="Z19">
        <v>9</v>
      </c>
      <c r="AA19" t="s">
        <v>142</v>
      </c>
    </row>
    <row r="20" spans="1:27" x14ac:dyDescent="0.3">
      <c r="A20">
        <v>19</v>
      </c>
      <c r="B20">
        <v>52402</v>
      </c>
      <c r="C20" s="29">
        <v>45176</v>
      </c>
      <c r="D20" t="s">
        <v>222</v>
      </c>
      <c r="E20" t="s">
        <v>74</v>
      </c>
      <c r="F20" t="s">
        <v>90</v>
      </c>
      <c r="G20" t="s">
        <v>76</v>
      </c>
      <c r="H20">
        <v>9</v>
      </c>
      <c r="I20">
        <v>83</v>
      </c>
      <c r="J20">
        <v>9.1999999999999993</v>
      </c>
      <c r="K20">
        <v>0.33300000000000002</v>
      </c>
      <c r="L20">
        <v>100435</v>
      </c>
      <c r="M20">
        <v>11159</v>
      </c>
      <c r="N20">
        <v>0.998</v>
      </c>
      <c r="O20">
        <v>0.111</v>
      </c>
      <c r="P20">
        <v>467922</v>
      </c>
      <c r="Q20">
        <v>100234</v>
      </c>
      <c r="R20">
        <v>135683.18</v>
      </c>
      <c r="S20">
        <v>218120</v>
      </c>
      <c r="T20">
        <v>0.214</v>
      </c>
      <c r="U20">
        <v>0.73899999999999999</v>
      </c>
      <c r="V20">
        <v>3.4489999999999998</v>
      </c>
      <c r="W20">
        <v>507869</v>
      </c>
      <c r="X20">
        <v>132311</v>
      </c>
      <c r="Y20">
        <v>0.26100000000000001</v>
      </c>
      <c r="Z20">
        <v>9</v>
      </c>
      <c r="AA20" t="s">
        <v>142</v>
      </c>
    </row>
    <row r="21" spans="1:27" x14ac:dyDescent="0.3">
      <c r="A21">
        <v>20</v>
      </c>
      <c r="B21">
        <v>52587</v>
      </c>
      <c r="C21" s="29">
        <v>45176</v>
      </c>
      <c r="D21" t="s">
        <v>222</v>
      </c>
      <c r="E21" t="s">
        <v>74</v>
      </c>
      <c r="F21" t="s">
        <v>84</v>
      </c>
      <c r="G21" t="s">
        <v>79</v>
      </c>
      <c r="H21">
        <v>10</v>
      </c>
      <c r="I21">
        <v>101</v>
      </c>
      <c r="J21">
        <v>10.1</v>
      </c>
      <c r="K21">
        <v>0.3</v>
      </c>
      <c r="L21">
        <v>140100</v>
      </c>
      <c r="M21">
        <v>11885</v>
      </c>
      <c r="N21">
        <v>1.5429999999999999</v>
      </c>
      <c r="O21">
        <v>0.1</v>
      </c>
      <c r="P21">
        <v>620857</v>
      </c>
      <c r="Q21">
        <v>216135</v>
      </c>
      <c r="R21">
        <v>145162.64000000001</v>
      </c>
      <c r="S21">
        <v>290678</v>
      </c>
      <c r="T21">
        <v>0.34799999999999998</v>
      </c>
      <c r="U21">
        <v>1.4890000000000001</v>
      </c>
      <c r="V21">
        <v>4.2770000000000001</v>
      </c>
      <c r="W21">
        <v>703954</v>
      </c>
      <c r="X21">
        <v>119458</v>
      </c>
      <c r="Y21">
        <v>0.17</v>
      </c>
      <c r="Z21">
        <v>9</v>
      </c>
      <c r="AA21" t="s">
        <v>142</v>
      </c>
    </row>
    <row r="22" spans="1:27" x14ac:dyDescent="0.3">
      <c r="A22">
        <v>21</v>
      </c>
      <c r="B22">
        <v>52736</v>
      </c>
      <c r="C22" s="29">
        <v>45177</v>
      </c>
      <c r="D22" t="s">
        <v>222</v>
      </c>
      <c r="E22" t="s">
        <v>77</v>
      </c>
      <c r="F22" t="s">
        <v>80</v>
      </c>
      <c r="G22" t="s">
        <v>81</v>
      </c>
      <c r="H22">
        <v>10</v>
      </c>
      <c r="I22">
        <v>111</v>
      </c>
      <c r="J22">
        <v>11.1</v>
      </c>
      <c r="K22">
        <v>0.4</v>
      </c>
      <c r="L22">
        <v>208781</v>
      </c>
      <c r="M22">
        <v>20578</v>
      </c>
      <c r="N22">
        <v>1.286</v>
      </c>
      <c r="O22">
        <v>0.3</v>
      </c>
      <c r="P22">
        <v>1086914</v>
      </c>
      <c r="Q22">
        <v>268511</v>
      </c>
      <c r="R22">
        <v>244568.61</v>
      </c>
      <c r="S22">
        <v>507087</v>
      </c>
      <c r="T22">
        <v>0.247</v>
      </c>
      <c r="U22">
        <v>1.0980000000000001</v>
      </c>
      <c r="V22">
        <v>4.444</v>
      </c>
      <c r="W22">
        <v>1159690</v>
      </c>
      <c r="X22">
        <v>184183</v>
      </c>
      <c r="Y22">
        <v>0.159</v>
      </c>
      <c r="Z22">
        <v>9</v>
      </c>
      <c r="AA22" t="s">
        <v>142</v>
      </c>
    </row>
    <row r="23" spans="1:27" x14ac:dyDescent="0.3">
      <c r="A23">
        <v>22</v>
      </c>
      <c r="B23">
        <v>52740</v>
      </c>
      <c r="C23" s="29">
        <v>45179</v>
      </c>
      <c r="D23" t="s">
        <v>222</v>
      </c>
      <c r="E23" t="s">
        <v>82</v>
      </c>
      <c r="F23" t="s">
        <v>91</v>
      </c>
      <c r="G23" t="s">
        <v>81</v>
      </c>
      <c r="H23">
        <v>11</v>
      </c>
      <c r="I23">
        <v>142</v>
      </c>
      <c r="J23">
        <v>12.9</v>
      </c>
      <c r="K23">
        <v>0.27300000000000002</v>
      </c>
      <c r="L23">
        <v>122925</v>
      </c>
      <c r="M23">
        <v>11175</v>
      </c>
      <c r="N23">
        <v>1.9610000000000001</v>
      </c>
      <c r="O23">
        <v>0.182</v>
      </c>
      <c r="P23">
        <v>1045105</v>
      </c>
      <c r="Q23">
        <v>241066</v>
      </c>
      <c r="R23">
        <v>150302.32999999999</v>
      </c>
      <c r="S23">
        <v>291190</v>
      </c>
      <c r="T23">
        <v>0.23100000000000001</v>
      </c>
      <c r="U23">
        <v>1.6040000000000001</v>
      </c>
      <c r="V23">
        <v>6.9530000000000003</v>
      </c>
      <c r="W23">
        <v>897151</v>
      </c>
      <c r="X23">
        <v>252836</v>
      </c>
      <c r="Y23">
        <v>0.28199999999999997</v>
      </c>
      <c r="Z23">
        <v>9</v>
      </c>
      <c r="AA23" t="s">
        <v>142</v>
      </c>
    </row>
    <row r="24" spans="1:27" x14ac:dyDescent="0.3">
      <c r="A24">
        <v>23</v>
      </c>
      <c r="B24">
        <v>52709</v>
      </c>
      <c r="C24" s="29">
        <v>45183</v>
      </c>
      <c r="D24" t="s">
        <v>222</v>
      </c>
      <c r="E24" t="s">
        <v>74</v>
      </c>
      <c r="F24" t="s">
        <v>78</v>
      </c>
      <c r="G24" t="s">
        <v>79</v>
      </c>
      <c r="H24">
        <v>10</v>
      </c>
      <c r="I24">
        <v>83</v>
      </c>
      <c r="J24">
        <v>8.3000000000000007</v>
      </c>
      <c r="K24">
        <v>0.1</v>
      </c>
      <c r="L24">
        <v>163361</v>
      </c>
      <c r="M24">
        <v>15711</v>
      </c>
      <c r="N24">
        <v>0.95399999999999996</v>
      </c>
      <c r="O24">
        <v>0</v>
      </c>
      <c r="P24">
        <v>661998</v>
      </c>
      <c r="Q24">
        <v>155789</v>
      </c>
      <c r="R24">
        <v>184377.79</v>
      </c>
      <c r="S24">
        <v>341321</v>
      </c>
      <c r="T24">
        <v>0.23499999999999999</v>
      </c>
      <c r="U24">
        <v>0.84499999999999997</v>
      </c>
      <c r="V24">
        <v>3.59</v>
      </c>
      <c r="W24">
        <v>753137</v>
      </c>
      <c r="X24">
        <v>53653</v>
      </c>
      <c r="Y24">
        <v>7.0999999999999994E-2</v>
      </c>
      <c r="Z24">
        <v>9</v>
      </c>
      <c r="AA24" t="s">
        <v>142</v>
      </c>
    </row>
    <row r="25" spans="1:27" x14ac:dyDescent="0.3">
      <c r="A25">
        <v>24</v>
      </c>
      <c r="B25">
        <v>52588</v>
      </c>
      <c r="C25" s="29">
        <v>45184</v>
      </c>
      <c r="D25" t="s">
        <v>222</v>
      </c>
      <c r="E25" t="s">
        <v>77</v>
      </c>
      <c r="F25" t="s">
        <v>85</v>
      </c>
      <c r="G25" t="s">
        <v>76</v>
      </c>
      <c r="H25">
        <v>8</v>
      </c>
      <c r="I25">
        <v>58</v>
      </c>
      <c r="J25">
        <v>7.2</v>
      </c>
      <c r="K25">
        <v>0.375</v>
      </c>
      <c r="L25">
        <v>80598</v>
      </c>
      <c r="M25">
        <v>10075</v>
      </c>
      <c r="N25">
        <v>0.72699999999999998</v>
      </c>
      <c r="O25">
        <v>0</v>
      </c>
      <c r="P25">
        <v>338213</v>
      </c>
      <c r="Q25">
        <v>58631</v>
      </c>
      <c r="R25">
        <v>107773.57</v>
      </c>
      <c r="S25">
        <v>181078</v>
      </c>
      <c r="T25">
        <v>0.17299999999999999</v>
      </c>
      <c r="U25">
        <v>0.54400000000000004</v>
      </c>
      <c r="V25">
        <v>3.1379999999999999</v>
      </c>
      <c r="W25">
        <v>0</v>
      </c>
      <c r="X25">
        <v>0</v>
      </c>
      <c r="Y25">
        <v>0</v>
      </c>
      <c r="Z25">
        <v>9</v>
      </c>
      <c r="AA25" t="s">
        <v>142</v>
      </c>
    </row>
    <row r="26" spans="1:27" x14ac:dyDescent="0.3">
      <c r="A26">
        <v>25</v>
      </c>
      <c r="B26">
        <v>52737</v>
      </c>
      <c r="C26" s="29">
        <v>45184</v>
      </c>
      <c r="D26" t="s">
        <v>222</v>
      </c>
      <c r="E26" t="s">
        <v>77</v>
      </c>
      <c r="F26" t="s">
        <v>80</v>
      </c>
      <c r="G26" t="s">
        <v>81</v>
      </c>
      <c r="H26">
        <v>10</v>
      </c>
      <c r="I26">
        <v>87</v>
      </c>
      <c r="J26">
        <v>8.6999999999999993</v>
      </c>
      <c r="K26">
        <v>0.4</v>
      </c>
      <c r="L26">
        <v>182215</v>
      </c>
      <c r="M26">
        <v>16922</v>
      </c>
      <c r="N26">
        <v>1.3220000000000001</v>
      </c>
      <c r="O26">
        <v>0.3</v>
      </c>
      <c r="P26">
        <v>899965</v>
      </c>
      <c r="Q26">
        <v>240848</v>
      </c>
      <c r="R26">
        <v>208203.61</v>
      </c>
      <c r="S26">
        <v>376334</v>
      </c>
      <c r="T26">
        <v>0.26800000000000002</v>
      </c>
      <c r="U26">
        <v>1.157</v>
      </c>
      <c r="V26">
        <v>4.3230000000000004</v>
      </c>
      <c r="W26">
        <v>896119</v>
      </c>
      <c r="X26">
        <v>109741</v>
      </c>
      <c r="Y26">
        <v>0.122</v>
      </c>
      <c r="Z26">
        <v>9</v>
      </c>
      <c r="AA26" t="s">
        <v>142</v>
      </c>
    </row>
    <row r="27" spans="1:27" x14ac:dyDescent="0.3">
      <c r="A27">
        <v>26</v>
      </c>
      <c r="B27">
        <v>52705</v>
      </c>
      <c r="C27" s="29">
        <v>45186</v>
      </c>
      <c r="D27" t="s">
        <v>222</v>
      </c>
      <c r="E27" t="s">
        <v>82</v>
      </c>
      <c r="F27" t="s">
        <v>92</v>
      </c>
      <c r="G27" t="s">
        <v>76</v>
      </c>
      <c r="H27">
        <v>10</v>
      </c>
      <c r="I27">
        <v>93</v>
      </c>
      <c r="J27">
        <v>9.3000000000000007</v>
      </c>
      <c r="K27">
        <v>0.4</v>
      </c>
      <c r="L27">
        <v>193060</v>
      </c>
      <c r="M27">
        <v>18306</v>
      </c>
      <c r="N27">
        <v>0.84599999999999997</v>
      </c>
      <c r="O27">
        <v>0.4</v>
      </c>
      <c r="P27">
        <v>918411</v>
      </c>
      <c r="Q27">
        <v>163275</v>
      </c>
      <c r="R27">
        <v>208222.28</v>
      </c>
      <c r="S27">
        <v>248397</v>
      </c>
      <c r="T27">
        <v>0.17799999999999999</v>
      </c>
      <c r="U27">
        <v>0.78400000000000003</v>
      </c>
      <c r="V27">
        <v>4.4109999999999996</v>
      </c>
      <c r="W27">
        <v>908947</v>
      </c>
      <c r="X27">
        <v>104229</v>
      </c>
      <c r="Y27">
        <v>0.115</v>
      </c>
      <c r="Z27">
        <v>9</v>
      </c>
      <c r="AA27" t="s">
        <v>142</v>
      </c>
    </row>
    <row r="28" spans="1:27" x14ac:dyDescent="0.3">
      <c r="A28">
        <v>27</v>
      </c>
      <c r="B28">
        <v>52738</v>
      </c>
      <c r="C28" s="29">
        <v>45190</v>
      </c>
      <c r="D28" t="s">
        <v>222</v>
      </c>
      <c r="E28" t="s">
        <v>74</v>
      </c>
      <c r="F28" t="s">
        <v>80</v>
      </c>
      <c r="G28" t="s">
        <v>81</v>
      </c>
      <c r="H28">
        <v>10</v>
      </c>
      <c r="I28">
        <v>105</v>
      </c>
      <c r="J28">
        <v>10.5</v>
      </c>
      <c r="K28">
        <v>0.2</v>
      </c>
      <c r="L28">
        <v>197597</v>
      </c>
      <c r="M28">
        <v>18235</v>
      </c>
      <c r="N28">
        <v>1.1719999999999999</v>
      </c>
      <c r="O28">
        <v>0.3</v>
      </c>
      <c r="P28">
        <v>972292</v>
      </c>
      <c r="Q28">
        <v>231681</v>
      </c>
      <c r="R28">
        <v>221036.11</v>
      </c>
      <c r="S28">
        <v>414848</v>
      </c>
      <c r="T28">
        <v>0.23799999999999999</v>
      </c>
      <c r="U28">
        <v>1.048</v>
      </c>
      <c r="V28">
        <v>4.399</v>
      </c>
      <c r="W28">
        <v>1118858</v>
      </c>
      <c r="X28">
        <v>316899</v>
      </c>
      <c r="Y28">
        <v>0.28299999999999997</v>
      </c>
      <c r="Z28">
        <v>9</v>
      </c>
      <c r="AA28" t="s">
        <v>142</v>
      </c>
    </row>
    <row r="29" spans="1:27" x14ac:dyDescent="0.3">
      <c r="A29">
        <v>28</v>
      </c>
      <c r="B29">
        <v>52710</v>
      </c>
      <c r="C29" s="29">
        <v>45191</v>
      </c>
      <c r="D29" t="s">
        <v>222</v>
      </c>
      <c r="E29" t="s">
        <v>77</v>
      </c>
      <c r="F29" t="s">
        <v>78</v>
      </c>
      <c r="G29" t="s">
        <v>79</v>
      </c>
      <c r="H29">
        <v>10</v>
      </c>
      <c r="I29">
        <v>92</v>
      </c>
      <c r="J29">
        <v>9.1999999999999993</v>
      </c>
      <c r="K29">
        <v>0.5</v>
      </c>
      <c r="L29">
        <v>266138</v>
      </c>
      <c r="M29">
        <v>25014</v>
      </c>
      <c r="N29">
        <v>0.72899999999999998</v>
      </c>
      <c r="O29">
        <v>0.1</v>
      </c>
      <c r="P29">
        <v>904924</v>
      </c>
      <c r="Q29">
        <v>194016</v>
      </c>
      <c r="R29">
        <v>277397.78999999998</v>
      </c>
      <c r="S29">
        <v>375638</v>
      </c>
      <c r="T29">
        <v>0.214</v>
      </c>
      <c r="U29">
        <v>0.69899999999999995</v>
      </c>
      <c r="V29">
        <v>3.262</v>
      </c>
      <c r="W29">
        <v>919717</v>
      </c>
      <c r="X29">
        <v>102224</v>
      </c>
      <c r="Y29">
        <v>0.111</v>
      </c>
      <c r="Z29">
        <v>9</v>
      </c>
      <c r="AA29" t="s">
        <v>142</v>
      </c>
    </row>
    <row r="30" spans="1:27" x14ac:dyDescent="0.3">
      <c r="A30">
        <v>29</v>
      </c>
      <c r="B30">
        <v>52706</v>
      </c>
      <c r="C30" s="29">
        <v>45192</v>
      </c>
      <c r="D30" t="s">
        <v>222</v>
      </c>
      <c r="E30" t="s">
        <v>93</v>
      </c>
      <c r="F30" t="s">
        <v>75</v>
      </c>
      <c r="G30" t="s">
        <v>76</v>
      </c>
      <c r="H30">
        <v>10</v>
      </c>
      <c r="I30">
        <v>80</v>
      </c>
      <c r="J30">
        <v>8</v>
      </c>
      <c r="K30">
        <v>0.4</v>
      </c>
      <c r="L30">
        <v>105846</v>
      </c>
      <c r="M30">
        <v>10585</v>
      </c>
      <c r="N30">
        <v>1.0649999999999999</v>
      </c>
      <c r="O30">
        <v>0</v>
      </c>
      <c r="P30">
        <v>527184</v>
      </c>
      <c r="Q30">
        <v>112760</v>
      </c>
      <c r="R30">
        <v>130814.55</v>
      </c>
      <c r="S30">
        <v>163275</v>
      </c>
      <c r="T30">
        <v>0.214</v>
      </c>
      <c r="U30">
        <v>0.86199999999999999</v>
      </c>
      <c r="V30">
        <v>4.03</v>
      </c>
      <c r="W30">
        <v>558152</v>
      </c>
      <c r="X30">
        <v>86803</v>
      </c>
      <c r="Y30">
        <v>0.156</v>
      </c>
      <c r="Z30">
        <v>9</v>
      </c>
      <c r="AA30" t="s">
        <v>142</v>
      </c>
    </row>
    <row r="31" spans="1:27" x14ac:dyDescent="0.3">
      <c r="A31">
        <v>30</v>
      </c>
      <c r="B31">
        <v>52741</v>
      </c>
      <c r="C31" s="29">
        <v>45193</v>
      </c>
      <c r="D31" t="s">
        <v>222</v>
      </c>
      <c r="E31" t="s">
        <v>82</v>
      </c>
      <c r="F31" t="s">
        <v>94</v>
      </c>
      <c r="G31" t="s">
        <v>81</v>
      </c>
      <c r="H31">
        <v>12</v>
      </c>
      <c r="I31">
        <v>158</v>
      </c>
      <c r="J31">
        <v>13.2</v>
      </c>
      <c r="K31">
        <v>0.33300000000000002</v>
      </c>
      <c r="L31">
        <v>166750</v>
      </c>
      <c r="M31">
        <v>13896</v>
      </c>
      <c r="N31">
        <v>1.36</v>
      </c>
      <c r="O31">
        <v>0.66700000000000004</v>
      </c>
      <c r="P31">
        <v>1204455</v>
      </c>
      <c r="Q31">
        <v>226749</v>
      </c>
      <c r="R31">
        <v>204266.26</v>
      </c>
      <c r="S31">
        <v>279541</v>
      </c>
      <c r="T31">
        <v>0.188</v>
      </c>
      <c r="U31">
        <v>1.1100000000000001</v>
      </c>
      <c r="V31">
        <v>5.8959999999999999</v>
      </c>
      <c r="W31">
        <v>1106313</v>
      </c>
      <c r="X31">
        <v>202678</v>
      </c>
      <c r="Y31">
        <v>0.183</v>
      </c>
      <c r="Z31">
        <v>9</v>
      </c>
      <c r="AA31" t="s">
        <v>142</v>
      </c>
    </row>
    <row r="32" spans="1:27" x14ac:dyDescent="0.3">
      <c r="A32">
        <v>31</v>
      </c>
      <c r="B32">
        <v>52707</v>
      </c>
      <c r="C32" s="29">
        <v>45197</v>
      </c>
      <c r="D32" t="s">
        <v>222</v>
      </c>
      <c r="E32" t="s">
        <v>74</v>
      </c>
      <c r="F32" t="s">
        <v>88</v>
      </c>
      <c r="G32" t="s">
        <v>76</v>
      </c>
      <c r="H32">
        <v>10</v>
      </c>
      <c r="I32">
        <v>96</v>
      </c>
      <c r="J32">
        <v>9.6</v>
      </c>
      <c r="K32">
        <v>0.4</v>
      </c>
      <c r="L32">
        <v>116172</v>
      </c>
      <c r="M32">
        <v>11617</v>
      </c>
      <c r="N32">
        <v>1.0209999999999999</v>
      </c>
      <c r="O32">
        <v>0.1</v>
      </c>
      <c r="P32">
        <v>617146</v>
      </c>
      <c r="Q32">
        <v>118564</v>
      </c>
      <c r="R32">
        <v>146911.79999999999</v>
      </c>
      <c r="S32">
        <v>326144</v>
      </c>
      <c r="T32">
        <v>0.192</v>
      </c>
      <c r="U32">
        <v>0.80700000000000005</v>
      </c>
      <c r="V32">
        <v>4.2009999999999996</v>
      </c>
      <c r="W32">
        <v>465555</v>
      </c>
      <c r="X32">
        <v>-355</v>
      </c>
      <c r="Y32">
        <v>-1E-3</v>
      </c>
      <c r="Z32">
        <v>9</v>
      </c>
      <c r="AA32" t="s">
        <v>142</v>
      </c>
    </row>
    <row r="33" spans="1:27" x14ac:dyDescent="0.3">
      <c r="A33">
        <v>32</v>
      </c>
      <c r="B33">
        <v>52716</v>
      </c>
      <c r="C33" s="29">
        <v>45197</v>
      </c>
      <c r="D33" t="s">
        <v>222</v>
      </c>
      <c r="E33" t="s">
        <v>74</v>
      </c>
      <c r="F33" t="s">
        <v>84</v>
      </c>
      <c r="G33" t="s">
        <v>79</v>
      </c>
      <c r="H33">
        <v>10</v>
      </c>
      <c r="I33">
        <v>104</v>
      </c>
      <c r="J33">
        <v>10.4</v>
      </c>
      <c r="K33">
        <v>0.5</v>
      </c>
      <c r="L33">
        <v>134230</v>
      </c>
      <c r="M33">
        <v>12073</v>
      </c>
      <c r="N33">
        <v>0.41499999999999998</v>
      </c>
      <c r="O33">
        <v>0</v>
      </c>
      <c r="P33">
        <v>636239</v>
      </c>
      <c r="Q33">
        <v>55688</v>
      </c>
      <c r="R33">
        <v>147043.89000000001</v>
      </c>
      <c r="S33">
        <v>515147</v>
      </c>
      <c r="T33">
        <v>8.7999999999999995E-2</v>
      </c>
      <c r="U33">
        <v>0.379</v>
      </c>
      <c r="V33">
        <v>4.327</v>
      </c>
      <c r="W33">
        <v>637594</v>
      </c>
      <c r="X33">
        <v>101855</v>
      </c>
      <c r="Y33">
        <v>0.16</v>
      </c>
      <c r="Z33">
        <v>9</v>
      </c>
      <c r="AA33" t="s">
        <v>142</v>
      </c>
    </row>
    <row r="34" spans="1:27" x14ac:dyDescent="0.3">
      <c r="A34">
        <v>33</v>
      </c>
      <c r="B34">
        <v>52739</v>
      </c>
      <c r="C34" s="29">
        <v>45198</v>
      </c>
      <c r="D34" t="s">
        <v>222</v>
      </c>
      <c r="E34" t="s">
        <v>77</v>
      </c>
      <c r="F34" t="s">
        <v>80</v>
      </c>
      <c r="G34" t="s">
        <v>81</v>
      </c>
      <c r="H34">
        <v>11</v>
      </c>
      <c r="I34">
        <v>127</v>
      </c>
      <c r="J34">
        <v>11.5</v>
      </c>
      <c r="K34">
        <v>0.36399999999999999</v>
      </c>
      <c r="L34">
        <v>265875</v>
      </c>
      <c r="M34">
        <v>24170</v>
      </c>
      <c r="N34">
        <v>1.0409999999999999</v>
      </c>
      <c r="O34">
        <v>0.36399999999999999</v>
      </c>
      <c r="P34">
        <v>1281983</v>
      </c>
      <c r="Q34">
        <v>276744</v>
      </c>
      <c r="R34">
        <v>304563.61</v>
      </c>
      <c r="S34">
        <v>454388</v>
      </c>
      <c r="T34">
        <v>0.216</v>
      </c>
      <c r="U34">
        <v>0.90900000000000003</v>
      </c>
      <c r="V34">
        <v>4.2089999999999996</v>
      </c>
      <c r="W34">
        <v>1499917</v>
      </c>
      <c r="X34">
        <v>381753</v>
      </c>
      <c r="Y34">
        <v>0.255</v>
      </c>
      <c r="Z34">
        <v>9</v>
      </c>
      <c r="AA34" t="s">
        <v>142</v>
      </c>
    </row>
    <row r="35" spans="1:27" x14ac:dyDescent="0.3">
      <c r="A35">
        <v>34</v>
      </c>
      <c r="B35">
        <v>52778</v>
      </c>
      <c r="C35" s="29">
        <v>45200</v>
      </c>
      <c r="D35" t="s">
        <v>222</v>
      </c>
      <c r="E35" t="s">
        <v>82</v>
      </c>
      <c r="F35" t="s">
        <v>95</v>
      </c>
      <c r="G35" t="s">
        <v>81</v>
      </c>
      <c r="H35">
        <v>11</v>
      </c>
      <c r="I35">
        <v>141</v>
      </c>
      <c r="J35">
        <v>12.8</v>
      </c>
      <c r="K35">
        <v>0.36399999999999999</v>
      </c>
      <c r="L35">
        <v>121785</v>
      </c>
      <c r="M35">
        <v>11071</v>
      </c>
      <c r="N35">
        <v>2.2240000000000002</v>
      </c>
      <c r="O35">
        <v>9.0999999999999998E-2</v>
      </c>
      <c r="P35">
        <v>1112038</v>
      </c>
      <c r="Q35">
        <v>270872</v>
      </c>
      <c r="R35">
        <v>140852.28</v>
      </c>
      <c r="S35">
        <v>243259</v>
      </c>
      <c r="T35">
        <v>0.24399999999999999</v>
      </c>
      <c r="U35">
        <v>1.923</v>
      </c>
      <c r="V35">
        <v>7.8949999999999996</v>
      </c>
      <c r="W35">
        <v>962188</v>
      </c>
      <c r="X35">
        <v>164358</v>
      </c>
      <c r="Y35">
        <v>0.17100000000000001</v>
      </c>
      <c r="Z35">
        <v>10</v>
      </c>
      <c r="AA35" t="s">
        <v>142</v>
      </c>
    </row>
    <row r="36" spans="1:27" x14ac:dyDescent="0.3">
      <c r="A36">
        <v>35</v>
      </c>
      <c r="B36">
        <v>52750</v>
      </c>
      <c r="C36" s="29">
        <v>45204</v>
      </c>
      <c r="D36" t="s">
        <v>222</v>
      </c>
      <c r="E36" t="s">
        <v>74</v>
      </c>
      <c r="F36" t="s">
        <v>80</v>
      </c>
      <c r="G36" t="s">
        <v>81</v>
      </c>
      <c r="H36">
        <v>11</v>
      </c>
      <c r="I36">
        <v>114</v>
      </c>
      <c r="J36">
        <v>10.4</v>
      </c>
      <c r="K36">
        <v>0.54500000000000004</v>
      </c>
      <c r="L36">
        <v>191653</v>
      </c>
      <c r="M36">
        <v>15639</v>
      </c>
      <c r="N36">
        <v>1.125</v>
      </c>
      <c r="O36">
        <v>9.0999999999999998E-2</v>
      </c>
      <c r="P36">
        <v>961904</v>
      </c>
      <c r="Q36">
        <v>215657</v>
      </c>
      <c r="R36">
        <v>210716.11</v>
      </c>
      <c r="S36">
        <v>383203</v>
      </c>
      <c r="T36">
        <v>0.224</v>
      </c>
      <c r="U36">
        <v>1.0229999999999999</v>
      </c>
      <c r="V36">
        <v>4.5650000000000004</v>
      </c>
      <c r="W36">
        <v>1073170</v>
      </c>
      <c r="X36">
        <v>252766</v>
      </c>
      <c r="Y36">
        <v>0.23599999999999999</v>
      </c>
      <c r="Z36">
        <v>10</v>
      </c>
      <c r="AA36" t="s">
        <v>142</v>
      </c>
    </row>
    <row r="37" spans="1:27" x14ac:dyDescent="0.3">
      <c r="A37">
        <v>36</v>
      </c>
      <c r="B37">
        <v>52762</v>
      </c>
      <c r="C37" s="29">
        <v>45205</v>
      </c>
      <c r="D37" t="s">
        <v>222</v>
      </c>
      <c r="E37" t="s">
        <v>77</v>
      </c>
      <c r="F37" t="s">
        <v>78</v>
      </c>
      <c r="G37" t="s">
        <v>79</v>
      </c>
      <c r="H37">
        <v>10</v>
      </c>
      <c r="I37">
        <v>87</v>
      </c>
      <c r="J37">
        <v>8.6999999999999993</v>
      </c>
      <c r="K37">
        <v>0.5</v>
      </c>
      <c r="L37">
        <v>160849</v>
      </c>
      <c r="M37">
        <v>16085</v>
      </c>
      <c r="N37">
        <v>0.36899999999999999</v>
      </c>
      <c r="O37">
        <v>0.2</v>
      </c>
      <c r="P37">
        <v>697349</v>
      </c>
      <c r="Q37">
        <v>59345</v>
      </c>
      <c r="R37">
        <v>188115.29</v>
      </c>
      <c r="S37">
        <v>238606</v>
      </c>
      <c r="T37">
        <v>8.5000000000000006E-2</v>
      </c>
      <c r="U37">
        <v>0.315</v>
      </c>
      <c r="V37">
        <v>3.7069999999999999</v>
      </c>
      <c r="W37">
        <v>817398</v>
      </c>
      <c r="X37">
        <v>13201</v>
      </c>
      <c r="Y37">
        <v>1.6E-2</v>
      </c>
      <c r="Z37">
        <v>10</v>
      </c>
      <c r="AA37" t="s">
        <v>142</v>
      </c>
    </row>
    <row r="38" spans="1:27" x14ac:dyDescent="0.3">
      <c r="A38">
        <v>37</v>
      </c>
      <c r="B38">
        <v>52768</v>
      </c>
      <c r="C38" s="29">
        <v>45205</v>
      </c>
      <c r="D38" t="s">
        <v>222</v>
      </c>
      <c r="E38" t="s">
        <v>77</v>
      </c>
      <c r="F38" t="s">
        <v>97</v>
      </c>
      <c r="G38" t="s">
        <v>76</v>
      </c>
      <c r="H38">
        <v>7</v>
      </c>
      <c r="I38">
        <v>62</v>
      </c>
      <c r="J38">
        <v>8.9</v>
      </c>
      <c r="K38">
        <v>0.57099999999999995</v>
      </c>
      <c r="L38">
        <v>91085</v>
      </c>
      <c r="M38">
        <v>13012</v>
      </c>
      <c r="N38">
        <v>0.89800000000000002</v>
      </c>
      <c r="O38">
        <v>0.28599999999999998</v>
      </c>
      <c r="P38">
        <v>359124</v>
      </c>
      <c r="Q38">
        <v>81838</v>
      </c>
      <c r="R38">
        <v>108203.3</v>
      </c>
      <c r="S38">
        <v>166512</v>
      </c>
      <c r="T38">
        <v>0.22800000000000001</v>
      </c>
      <c r="U38">
        <v>0.75600000000000001</v>
      </c>
      <c r="V38">
        <v>3.319</v>
      </c>
      <c r="W38">
        <v>507395</v>
      </c>
      <c r="X38">
        <v>32546</v>
      </c>
      <c r="Y38">
        <v>6.4000000000000001E-2</v>
      </c>
      <c r="Z38">
        <v>10</v>
      </c>
      <c r="AA38" t="s">
        <v>142</v>
      </c>
    </row>
    <row r="39" spans="1:27" x14ac:dyDescent="0.3">
      <c r="A39">
        <v>38</v>
      </c>
      <c r="B39">
        <v>52751</v>
      </c>
      <c r="C39" s="29">
        <v>45207</v>
      </c>
      <c r="D39" t="s">
        <v>222</v>
      </c>
      <c r="E39" t="s">
        <v>82</v>
      </c>
      <c r="F39" t="s">
        <v>91</v>
      </c>
      <c r="G39" t="s">
        <v>81</v>
      </c>
      <c r="H39">
        <v>12</v>
      </c>
      <c r="I39">
        <v>164</v>
      </c>
      <c r="J39">
        <v>13.7</v>
      </c>
      <c r="K39">
        <v>0.33300000000000002</v>
      </c>
      <c r="L39">
        <v>198847</v>
      </c>
      <c r="M39">
        <v>16571</v>
      </c>
      <c r="N39">
        <v>1.506</v>
      </c>
      <c r="O39">
        <v>0.25</v>
      </c>
      <c r="P39">
        <v>1447838</v>
      </c>
      <c r="Q39">
        <v>299423</v>
      </c>
      <c r="R39">
        <v>226323.58</v>
      </c>
      <c r="S39">
        <v>323908</v>
      </c>
      <c r="T39">
        <v>0.20699999999999999</v>
      </c>
      <c r="U39">
        <v>1.323</v>
      </c>
      <c r="V39">
        <v>6.3970000000000002</v>
      </c>
      <c r="W39">
        <v>1418655</v>
      </c>
      <c r="X39">
        <v>299186</v>
      </c>
      <c r="Y39">
        <v>0.21099999999999999</v>
      </c>
      <c r="Z39">
        <v>10</v>
      </c>
      <c r="AA39" t="s">
        <v>142</v>
      </c>
    </row>
    <row r="40" spans="1:27" x14ac:dyDescent="0.3">
      <c r="A40">
        <v>39</v>
      </c>
      <c r="B40">
        <v>52773</v>
      </c>
      <c r="C40" s="29">
        <v>45211</v>
      </c>
      <c r="D40" t="s">
        <v>222</v>
      </c>
      <c r="E40" t="s">
        <v>74</v>
      </c>
      <c r="F40" t="s">
        <v>84</v>
      </c>
      <c r="G40" t="s">
        <v>79</v>
      </c>
      <c r="H40">
        <v>9</v>
      </c>
      <c r="I40">
        <v>82</v>
      </c>
      <c r="J40">
        <v>9.1</v>
      </c>
      <c r="K40">
        <v>0.55600000000000005</v>
      </c>
      <c r="L40">
        <v>103101</v>
      </c>
      <c r="M40">
        <v>11456</v>
      </c>
      <c r="N40">
        <v>0.70299999999999996</v>
      </c>
      <c r="O40">
        <v>0.111</v>
      </c>
      <c r="P40">
        <v>516311</v>
      </c>
      <c r="Q40">
        <v>72429</v>
      </c>
      <c r="R40">
        <v>129313.89</v>
      </c>
      <c r="S40">
        <v>302699</v>
      </c>
      <c r="T40">
        <v>0.14000000000000001</v>
      </c>
      <c r="U40">
        <v>0.56000000000000005</v>
      </c>
      <c r="V40">
        <v>3.9929999999999999</v>
      </c>
      <c r="W40">
        <v>736595</v>
      </c>
      <c r="X40">
        <v>90528</v>
      </c>
      <c r="Y40">
        <v>0.123</v>
      </c>
      <c r="Z40">
        <v>10</v>
      </c>
      <c r="AA40" t="s">
        <v>142</v>
      </c>
    </row>
    <row r="41" spans="1:27" x14ac:dyDescent="0.3">
      <c r="A41">
        <v>40</v>
      </c>
      <c r="B41">
        <v>52779</v>
      </c>
      <c r="C41" s="29">
        <v>45211</v>
      </c>
      <c r="D41" t="s">
        <v>222</v>
      </c>
      <c r="E41" t="s">
        <v>74</v>
      </c>
      <c r="F41" t="s">
        <v>90</v>
      </c>
      <c r="G41" t="s">
        <v>76</v>
      </c>
      <c r="H41">
        <v>11</v>
      </c>
      <c r="I41">
        <v>115</v>
      </c>
      <c r="J41">
        <v>10.5</v>
      </c>
      <c r="K41">
        <v>0.27300000000000002</v>
      </c>
      <c r="L41">
        <v>123045</v>
      </c>
      <c r="M41">
        <v>11186</v>
      </c>
      <c r="N41">
        <v>1.071</v>
      </c>
      <c r="O41">
        <v>0.182</v>
      </c>
      <c r="P41">
        <v>635260</v>
      </c>
      <c r="Q41">
        <v>131774</v>
      </c>
      <c r="R41">
        <v>158493.18</v>
      </c>
      <c r="S41">
        <v>303944</v>
      </c>
      <c r="T41">
        <v>0.20699999999999999</v>
      </c>
      <c r="U41">
        <v>0.83099999999999996</v>
      </c>
      <c r="V41">
        <v>4.008</v>
      </c>
      <c r="W41">
        <v>620468</v>
      </c>
      <c r="X41">
        <v>-29772</v>
      </c>
      <c r="Y41">
        <v>-4.8000000000000001E-2</v>
      </c>
      <c r="Z41">
        <v>10</v>
      </c>
      <c r="AA41" t="s">
        <v>142</v>
      </c>
    </row>
    <row r="42" spans="1:27" x14ac:dyDescent="0.3">
      <c r="A42">
        <v>41</v>
      </c>
      <c r="B42">
        <v>52742</v>
      </c>
      <c r="C42" s="29">
        <v>45212</v>
      </c>
      <c r="D42" t="s">
        <v>222</v>
      </c>
      <c r="E42" t="s">
        <v>77</v>
      </c>
      <c r="F42" t="s">
        <v>80</v>
      </c>
      <c r="G42" t="s">
        <v>81</v>
      </c>
      <c r="H42">
        <v>11</v>
      </c>
      <c r="I42">
        <v>127</v>
      </c>
      <c r="J42">
        <v>11.5</v>
      </c>
      <c r="K42">
        <v>0.63600000000000001</v>
      </c>
      <c r="L42">
        <v>725965</v>
      </c>
      <c r="M42">
        <v>34179</v>
      </c>
      <c r="N42">
        <v>0.20899999999999999</v>
      </c>
      <c r="O42">
        <v>0.27300000000000002</v>
      </c>
      <c r="P42">
        <v>782205</v>
      </c>
      <c r="Q42">
        <v>151646</v>
      </c>
      <c r="R42">
        <v>414653.11</v>
      </c>
      <c r="S42">
        <v>473089</v>
      </c>
      <c r="T42">
        <v>0.19400000000000001</v>
      </c>
      <c r="U42">
        <v>0.36599999999999999</v>
      </c>
      <c r="V42">
        <v>1.8859999999999999</v>
      </c>
      <c r="W42">
        <v>1633678</v>
      </c>
      <c r="X42">
        <v>-54608</v>
      </c>
      <c r="Y42">
        <v>-3.3000000000000002E-2</v>
      </c>
      <c r="Z42">
        <v>10</v>
      </c>
      <c r="AA42" t="s">
        <v>142</v>
      </c>
    </row>
    <row r="43" spans="1:27" x14ac:dyDescent="0.3">
      <c r="A43">
        <v>42</v>
      </c>
      <c r="B43">
        <v>52781</v>
      </c>
      <c r="C43" s="29">
        <v>45214</v>
      </c>
      <c r="D43" t="s">
        <v>222</v>
      </c>
      <c r="E43" t="s">
        <v>82</v>
      </c>
      <c r="F43" t="s">
        <v>92</v>
      </c>
      <c r="G43" t="s">
        <v>76</v>
      </c>
      <c r="H43">
        <v>11</v>
      </c>
      <c r="I43">
        <v>113</v>
      </c>
      <c r="J43">
        <v>10.3</v>
      </c>
      <c r="K43">
        <v>0.54500000000000004</v>
      </c>
      <c r="L43">
        <v>121766</v>
      </c>
      <c r="M43">
        <v>11070</v>
      </c>
      <c r="N43">
        <v>1.472</v>
      </c>
      <c r="O43">
        <v>9.0999999999999998E-2</v>
      </c>
      <c r="P43">
        <v>905925</v>
      </c>
      <c r="Q43">
        <v>179285</v>
      </c>
      <c r="R43">
        <v>147227.28</v>
      </c>
      <c r="S43">
        <v>298261</v>
      </c>
      <c r="T43">
        <v>0.19800000000000001</v>
      </c>
      <c r="U43">
        <v>1.218</v>
      </c>
      <c r="V43">
        <v>6.1529999999999996</v>
      </c>
      <c r="W43">
        <v>874648</v>
      </c>
      <c r="X43">
        <v>93092</v>
      </c>
      <c r="Y43">
        <v>0.106</v>
      </c>
      <c r="Z43">
        <v>10</v>
      </c>
      <c r="AA43" t="s">
        <v>142</v>
      </c>
    </row>
    <row r="44" spans="1:27" x14ac:dyDescent="0.3">
      <c r="A44">
        <v>43</v>
      </c>
      <c r="B44">
        <v>52774</v>
      </c>
      <c r="C44" s="29">
        <v>45218</v>
      </c>
      <c r="D44" t="s">
        <v>222</v>
      </c>
      <c r="E44" t="s">
        <v>74</v>
      </c>
      <c r="F44" t="s">
        <v>78</v>
      </c>
      <c r="G44" t="s">
        <v>79</v>
      </c>
      <c r="H44">
        <v>8</v>
      </c>
      <c r="I44">
        <v>77</v>
      </c>
      <c r="J44">
        <v>9.6</v>
      </c>
      <c r="K44">
        <v>0.125</v>
      </c>
      <c r="L44">
        <v>128225</v>
      </c>
      <c r="M44">
        <v>16028</v>
      </c>
      <c r="N44">
        <v>0.86099999999999999</v>
      </c>
      <c r="O44">
        <v>0</v>
      </c>
      <c r="P44">
        <v>571314</v>
      </c>
      <c r="Q44">
        <v>110414</v>
      </c>
      <c r="R44">
        <v>155490.29</v>
      </c>
      <c r="S44">
        <v>208045</v>
      </c>
      <c r="T44">
        <v>0.193</v>
      </c>
      <c r="U44">
        <v>0.71</v>
      </c>
      <c r="V44">
        <v>3.6739999999999999</v>
      </c>
      <c r="W44">
        <v>709817</v>
      </c>
      <c r="X44">
        <v>259260</v>
      </c>
      <c r="Y44">
        <v>0.36499999999999999</v>
      </c>
      <c r="Z44">
        <v>10</v>
      </c>
      <c r="AA44" t="s">
        <v>142</v>
      </c>
    </row>
    <row r="45" spans="1:27" x14ac:dyDescent="0.3">
      <c r="A45">
        <v>44</v>
      </c>
      <c r="B45">
        <v>52809</v>
      </c>
      <c r="C45" s="29">
        <v>45219</v>
      </c>
      <c r="D45" t="s">
        <v>222</v>
      </c>
      <c r="E45" t="s">
        <v>77</v>
      </c>
      <c r="F45" t="s">
        <v>80</v>
      </c>
      <c r="G45" t="s">
        <v>81</v>
      </c>
      <c r="H45">
        <v>12</v>
      </c>
      <c r="I45">
        <v>138</v>
      </c>
      <c r="J45">
        <v>11.5</v>
      </c>
      <c r="K45">
        <v>0.16700000000000001</v>
      </c>
      <c r="L45">
        <v>192593</v>
      </c>
      <c r="M45">
        <v>15841</v>
      </c>
      <c r="N45">
        <v>1.452</v>
      </c>
      <c r="O45">
        <v>0.16700000000000001</v>
      </c>
      <c r="P45">
        <v>1143607</v>
      </c>
      <c r="Q45">
        <v>279549</v>
      </c>
      <c r="R45">
        <v>228781.11</v>
      </c>
      <c r="S45">
        <v>433863</v>
      </c>
      <c r="T45">
        <v>0.24399999999999999</v>
      </c>
      <c r="U45">
        <v>1.222</v>
      </c>
      <c r="V45">
        <v>4.9989999999999997</v>
      </c>
      <c r="W45">
        <v>1165983</v>
      </c>
      <c r="X45">
        <v>122140</v>
      </c>
      <c r="Y45">
        <v>0.105</v>
      </c>
      <c r="Z45">
        <v>10</v>
      </c>
      <c r="AA45" t="s">
        <v>142</v>
      </c>
    </row>
    <row r="46" spans="1:27" x14ac:dyDescent="0.3">
      <c r="A46">
        <v>45</v>
      </c>
      <c r="B46">
        <v>52783</v>
      </c>
      <c r="C46" s="29">
        <v>45221</v>
      </c>
      <c r="D46" t="s">
        <v>222</v>
      </c>
      <c r="E46" t="s">
        <v>82</v>
      </c>
      <c r="F46" t="s">
        <v>98</v>
      </c>
      <c r="G46" t="s">
        <v>76</v>
      </c>
      <c r="H46">
        <v>9</v>
      </c>
      <c r="I46">
        <v>83</v>
      </c>
      <c r="J46">
        <v>9.1999999999999993</v>
      </c>
      <c r="K46">
        <v>0</v>
      </c>
      <c r="L46">
        <v>106452</v>
      </c>
      <c r="M46">
        <v>11828</v>
      </c>
      <c r="N46">
        <v>1.272</v>
      </c>
      <c r="O46">
        <v>0</v>
      </c>
      <c r="P46">
        <v>663365</v>
      </c>
      <c r="Q46">
        <v>135413</v>
      </c>
      <c r="R46">
        <v>123570.8</v>
      </c>
      <c r="S46">
        <v>257089</v>
      </c>
      <c r="T46">
        <v>0.20399999999999999</v>
      </c>
      <c r="U46">
        <v>1.0960000000000001</v>
      </c>
      <c r="V46">
        <v>5.3680000000000003</v>
      </c>
      <c r="W46">
        <v>695726</v>
      </c>
      <c r="X46">
        <v>138120</v>
      </c>
      <c r="Y46">
        <v>0.19900000000000001</v>
      </c>
      <c r="Z46">
        <v>10</v>
      </c>
      <c r="AA46" t="s">
        <v>142</v>
      </c>
    </row>
    <row r="47" spans="1:27" x14ac:dyDescent="0.3">
      <c r="A47">
        <v>46</v>
      </c>
      <c r="B47">
        <v>52782</v>
      </c>
      <c r="C47" s="29">
        <v>45222</v>
      </c>
      <c r="D47" t="s">
        <v>222</v>
      </c>
      <c r="E47" t="s">
        <v>99</v>
      </c>
      <c r="F47" t="s">
        <v>86</v>
      </c>
      <c r="G47" t="s">
        <v>81</v>
      </c>
      <c r="H47">
        <v>12</v>
      </c>
      <c r="I47">
        <v>144</v>
      </c>
      <c r="J47">
        <v>12</v>
      </c>
      <c r="K47">
        <v>0.41699999999999998</v>
      </c>
      <c r="L47">
        <v>334300</v>
      </c>
      <c r="M47">
        <v>24525</v>
      </c>
      <c r="N47">
        <v>0.48399999999999999</v>
      </c>
      <c r="O47">
        <v>0.25</v>
      </c>
      <c r="P47">
        <v>1703026</v>
      </c>
      <c r="Q47">
        <v>161877</v>
      </c>
      <c r="R47">
        <v>323974</v>
      </c>
      <c r="S47">
        <v>394552</v>
      </c>
      <c r="T47">
        <v>9.5000000000000001E-2</v>
      </c>
      <c r="U47">
        <v>0.5</v>
      </c>
      <c r="V47">
        <v>5.2569999999999997</v>
      </c>
      <c r="W47">
        <v>1732581</v>
      </c>
      <c r="X47">
        <v>347301</v>
      </c>
      <c r="Y47">
        <v>0.2</v>
      </c>
      <c r="Z47">
        <v>10</v>
      </c>
      <c r="AA47" t="s">
        <v>142</v>
      </c>
    </row>
    <row r="48" spans="1:27" x14ac:dyDescent="0.3">
      <c r="A48">
        <v>47</v>
      </c>
      <c r="B48">
        <v>52820</v>
      </c>
      <c r="C48" s="29">
        <v>45222</v>
      </c>
      <c r="D48" t="s">
        <v>222</v>
      </c>
      <c r="E48" t="s">
        <v>99</v>
      </c>
      <c r="F48" t="s">
        <v>101</v>
      </c>
      <c r="G48" t="s">
        <v>79</v>
      </c>
      <c r="H48">
        <v>5</v>
      </c>
      <c r="I48">
        <v>42</v>
      </c>
      <c r="J48">
        <v>8.4</v>
      </c>
      <c r="K48">
        <v>0.8</v>
      </c>
      <c r="L48">
        <v>51534</v>
      </c>
      <c r="M48">
        <v>9807</v>
      </c>
      <c r="N48">
        <v>-0.98699999999999999</v>
      </c>
      <c r="O48">
        <v>0</v>
      </c>
      <c r="P48">
        <v>252789</v>
      </c>
      <c r="Q48">
        <v>-50854</v>
      </c>
      <c r="R48">
        <v>70973.119999999995</v>
      </c>
      <c r="S48">
        <v>88231</v>
      </c>
      <c r="T48">
        <v>-0.20100000000000001</v>
      </c>
      <c r="U48">
        <v>-0.71699999999999997</v>
      </c>
      <c r="V48">
        <v>3.5619999999999998</v>
      </c>
      <c r="W48">
        <v>389813</v>
      </c>
      <c r="X48">
        <v>55485</v>
      </c>
      <c r="Y48">
        <v>0.14199999999999999</v>
      </c>
      <c r="Z48">
        <v>10</v>
      </c>
      <c r="AA48" t="s">
        <v>142</v>
      </c>
    </row>
    <row r="49" spans="1:27" x14ac:dyDescent="0.3">
      <c r="A49">
        <v>48</v>
      </c>
      <c r="B49">
        <v>52936</v>
      </c>
      <c r="C49" s="29">
        <v>45225</v>
      </c>
      <c r="D49" t="s">
        <v>222</v>
      </c>
      <c r="E49" t="s">
        <v>74</v>
      </c>
      <c r="F49" t="s">
        <v>75</v>
      </c>
      <c r="G49" t="s">
        <v>76</v>
      </c>
      <c r="H49">
        <v>10</v>
      </c>
      <c r="I49">
        <v>93</v>
      </c>
      <c r="J49">
        <v>9.3000000000000007</v>
      </c>
      <c r="K49">
        <v>0.6</v>
      </c>
      <c r="L49">
        <v>103889</v>
      </c>
      <c r="M49">
        <v>10389</v>
      </c>
      <c r="N49">
        <v>1.151</v>
      </c>
      <c r="O49">
        <v>0</v>
      </c>
      <c r="P49">
        <v>590524</v>
      </c>
      <c r="Q49">
        <v>119603</v>
      </c>
      <c r="R49">
        <v>129059.55</v>
      </c>
      <c r="S49">
        <v>285461</v>
      </c>
      <c r="T49">
        <v>0.20300000000000001</v>
      </c>
      <c r="U49">
        <v>0.92700000000000005</v>
      </c>
      <c r="V49">
        <v>4.5759999999999996</v>
      </c>
      <c r="W49">
        <v>0</v>
      </c>
      <c r="X49">
        <v>0</v>
      </c>
      <c r="Y49">
        <v>0</v>
      </c>
      <c r="Z49">
        <v>10</v>
      </c>
      <c r="AA49" t="s">
        <v>142</v>
      </c>
    </row>
    <row r="50" spans="1:27" x14ac:dyDescent="0.3">
      <c r="A50">
        <v>49</v>
      </c>
      <c r="B50">
        <v>52780</v>
      </c>
      <c r="C50" s="29">
        <v>45226</v>
      </c>
      <c r="D50" t="s">
        <v>222</v>
      </c>
      <c r="E50" t="s">
        <v>77</v>
      </c>
      <c r="F50" t="s">
        <v>84</v>
      </c>
      <c r="G50" t="s">
        <v>79</v>
      </c>
      <c r="H50">
        <v>9</v>
      </c>
      <c r="I50">
        <v>81</v>
      </c>
      <c r="J50">
        <v>9</v>
      </c>
      <c r="K50">
        <v>0.222</v>
      </c>
      <c r="L50">
        <v>101541</v>
      </c>
      <c r="M50">
        <v>11282</v>
      </c>
      <c r="N50">
        <v>0.90400000000000003</v>
      </c>
      <c r="O50">
        <v>0</v>
      </c>
      <c r="P50">
        <v>628702</v>
      </c>
      <c r="Q50">
        <v>91812</v>
      </c>
      <c r="R50">
        <v>127952.64</v>
      </c>
      <c r="S50">
        <v>161523</v>
      </c>
      <c r="T50">
        <v>0.14599999999999999</v>
      </c>
      <c r="U50">
        <v>0.71799999999999997</v>
      </c>
      <c r="V50">
        <v>4.9139999999999997</v>
      </c>
      <c r="W50">
        <v>658723</v>
      </c>
      <c r="X50">
        <v>191932</v>
      </c>
      <c r="Y50">
        <v>0.29099999999999998</v>
      </c>
      <c r="Z50">
        <v>10</v>
      </c>
      <c r="AA50" t="s">
        <v>142</v>
      </c>
    </row>
    <row r="51" spans="1:27" x14ac:dyDescent="0.3">
      <c r="A51">
        <v>50</v>
      </c>
      <c r="B51">
        <v>52812</v>
      </c>
      <c r="C51" s="29">
        <v>45228</v>
      </c>
      <c r="D51" t="s">
        <v>222</v>
      </c>
      <c r="E51" t="s">
        <v>82</v>
      </c>
      <c r="F51" t="s">
        <v>100</v>
      </c>
      <c r="G51" t="s">
        <v>81</v>
      </c>
      <c r="H51">
        <v>8</v>
      </c>
      <c r="I51">
        <v>68</v>
      </c>
      <c r="J51">
        <v>8.5</v>
      </c>
      <c r="K51">
        <v>0.25</v>
      </c>
      <c r="L51">
        <v>90550</v>
      </c>
      <c r="M51">
        <v>11319</v>
      </c>
      <c r="N51">
        <v>2.2269999999999999</v>
      </c>
      <c r="O51">
        <v>0</v>
      </c>
      <c r="P51">
        <v>1056868</v>
      </c>
      <c r="Q51">
        <v>201635</v>
      </c>
      <c r="R51">
        <v>152018.70000000001</v>
      </c>
      <c r="S51">
        <v>108657</v>
      </c>
      <c r="T51">
        <v>0.191</v>
      </c>
      <c r="U51">
        <v>1.3260000000000001</v>
      </c>
      <c r="V51">
        <v>6.952</v>
      </c>
      <c r="W51">
        <v>721866</v>
      </c>
      <c r="X51">
        <v>-1721</v>
      </c>
      <c r="Y51">
        <v>-2E-3</v>
      </c>
      <c r="Z51">
        <v>10</v>
      </c>
      <c r="AA51" t="s">
        <v>142</v>
      </c>
    </row>
    <row r="52" spans="1:27" x14ac:dyDescent="0.3">
      <c r="A52">
        <v>51</v>
      </c>
      <c r="B52">
        <v>52812</v>
      </c>
      <c r="C52" s="29">
        <v>45229</v>
      </c>
      <c r="D52" t="s">
        <v>222</v>
      </c>
      <c r="E52" t="s">
        <v>99</v>
      </c>
      <c r="F52" t="s">
        <v>100</v>
      </c>
      <c r="G52" t="s">
        <v>81</v>
      </c>
      <c r="H52">
        <v>9</v>
      </c>
      <c r="I52">
        <v>82</v>
      </c>
      <c r="J52">
        <v>9.1</v>
      </c>
      <c r="K52">
        <v>0.44400000000000001</v>
      </c>
      <c r="L52">
        <v>238267</v>
      </c>
      <c r="M52">
        <v>22585</v>
      </c>
      <c r="N52">
        <v>1.1459999999999999</v>
      </c>
      <c r="O52">
        <v>0.111</v>
      </c>
      <c r="P52">
        <v>1479526</v>
      </c>
      <c r="Q52">
        <v>273033</v>
      </c>
      <c r="R52">
        <v>261581.2</v>
      </c>
      <c r="S52">
        <v>267981</v>
      </c>
      <c r="T52">
        <v>0.185</v>
      </c>
      <c r="U52">
        <v>1.044</v>
      </c>
      <c r="V52">
        <v>5.6559999999999997</v>
      </c>
      <c r="W52">
        <v>1638894</v>
      </c>
      <c r="X52">
        <v>403355</v>
      </c>
      <c r="Y52">
        <v>0.246</v>
      </c>
      <c r="Z52">
        <v>10</v>
      </c>
      <c r="AA52" t="s">
        <v>142</v>
      </c>
    </row>
    <row r="53" spans="1:27" x14ac:dyDescent="0.3">
      <c r="A53">
        <v>52</v>
      </c>
      <c r="B53">
        <v>52813</v>
      </c>
      <c r="C53" s="29">
        <v>45231</v>
      </c>
      <c r="D53" t="s">
        <v>222</v>
      </c>
      <c r="E53" t="s">
        <v>96</v>
      </c>
      <c r="F53" t="s">
        <v>91</v>
      </c>
      <c r="G53" t="s">
        <v>81</v>
      </c>
      <c r="H53">
        <v>11</v>
      </c>
      <c r="I53">
        <v>135</v>
      </c>
      <c r="J53">
        <v>12.3</v>
      </c>
      <c r="K53">
        <v>0.182</v>
      </c>
      <c r="L53">
        <v>110525</v>
      </c>
      <c r="M53">
        <v>10048</v>
      </c>
      <c r="N53">
        <v>2.5059999999999998</v>
      </c>
      <c r="O53">
        <v>0</v>
      </c>
      <c r="P53">
        <v>924200</v>
      </c>
      <c r="Q53">
        <v>276974</v>
      </c>
      <c r="R53">
        <v>137802.32999999999</v>
      </c>
      <c r="S53">
        <v>295435</v>
      </c>
      <c r="T53">
        <v>0.3</v>
      </c>
      <c r="U53">
        <v>2.0099999999999998</v>
      </c>
      <c r="V53">
        <v>6.7069999999999999</v>
      </c>
      <c r="W53">
        <v>896356</v>
      </c>
      <c r="X53">
        <v>129679</v>
      </c>
      <c r="Y53">
        <v>0.14499999999999999</v>
      </c>
      <c r="Z53">
        <v>11</v>
      </c>
      <c r="AA53" t="s">
        <v>145</v>
      </c>
    </row>
    <row r="54" spans="1:27" x14ac:dyDescent="0.3">
      <c r="A54">
        <v>53</v>
      </c>
      <c r="B54">
        <v>52814</v>
      </c>
      <c r="C54" s="29">
        <v>45232</v>
      </c>
      <c r="D54" t="s">
        <v>222</v>
      </c>
      <c r="E54" t="s">
        <v>74</v>
      </c>
      <c r="F54" t="s">
        <v>78</v>
      </c>
      <c r="G54" t="s">
        <v>79</v>
      </c>
      <c r="H54">
        <v>8</v>
      </c>
      <c r="I54">
        <v>71</v>
      </c>
      <c r="J54">
        <v>8.9</v>
      </c>
      <c r="K54">
        <v>0.125</v>
      </c>
      <c r="L54">
        <v>121983</v>
      </c>
      <c r="M54">
        <v>15248</v>
      </c>
      <c r="N54">
        <v>1.2150000000000001</v>
      </c>
      <c r="O54">
        <v>0.125</v>
      </c>
      <c r="P54">
        <v>589509</v>
      </c>
      <c r="Q54">
        <v>148225</v>
      </c>
      <c r="R54">
        <v>149247.79</v>
      </c>
      <c r="S54">
        <v>231260</v>
      </c>
      <c r="T54">
        <v>0.251</v>
      </c>
      <c r="U54">
        <v>0.99299999999999999</v>
      </c>
      <c r="V54">
        <v>3.95</v>
      </c>
      <c r="W54">
        <v>641746</v>
      </c>
      <c r="X54">
        <v>124026</v>
      </c>
      <c r="Y54">
        <v>0.193</v>
      </c>
      <c r="Z54">
        <v>11</v>
      </c>
      <c r="AA54" t="s">
        <v>145</v>
      </c>
    </row>
    <row r="55" spans="1:27" x14ac:dyDescent="0.3">
      <c r="A55">
        <v>54</v>
      </c>
      <c r="B55">
        <v>52816</v>
      </c>
      <c r="C55" s="29">
        <v>45233</v>
      </c>
      <c r="D55" t="s">
        <v>222</v>
      </c>
      <c r="E55" t="s">
        <v>77</v>
      </c>
      <c r="F55" t="s">
        <v>80</v>
      </c>
      <c r="G55" t="s">
        <v>81</v>
      </c>
      <c r="H55">
        <v>12</v>
      </c>
      <c r="I55">
        <v>124</v>
      </c>
      <c r="J55">
        <v>10.3</v>
      </c>
      <c r="K55">
        <v>0.41699999999999998</v>
      </c>
      <c r="L55">
        <v>221962</v>
      </c>
      <c r="M55">
        <v>18497</v>
      </c>
      <c r="N55">
        <v>1.006</v>
      </c>
      <c r="O55">
        <v>0.16700000000000001</v>
      </c>
      <c r="P55">
        <v>1334221</v>
      </c>
      <c r="Q55">
        <v>223196</v>
      </c>
      <c r="R55">
        <v>260751.11</v>
      </c>
      <c r="S55">
        <v>526626</v>
      </c>
      <c r="T55">
        <v>0.16700000000000001</v>
      </c>
      <c r="U55">
        <v>0.85599999999999998</v>
      </c>
      <c r="V55">
        <v>5.117</v>
      </c>
      <c r="W55">
        <v>0</v>
      </c>
      <c r="X55">
        <v>0</v>
      </c>
      <c r="Y55">
        <v>0</v>
      </c>
      <c r="Z55">
        <v>11</v>
      </c>
      <c r="AA55" t="s">
        <v>145</v>
      </c>
    </row>
    <row r="56" spans="1:27" x14ac:dyDescent="0.3">
      <c r="A56">
        <v>55</v>
      </c>
      <c r="B56">
        <v>52937</v>
      </c>
      <c r="C56" s="29">
        <v>45235</v>
      </c>
      <c r="D56" t="s">
        <v>222</v>
      </c>
      <c r="E56" t="s">
        <v>82</v>
      </c>
      <c r="F56" t="s">
        <v>85</v>
      </c>
      <c r="G56" t="s">
        <v>76</v>
      </c>
      <c r="H56">
        <v>10</v>
      </c>
      <c r="I56">
        <v>83</v>
      </c>
      <c r="J56">
        <v>8.3000000000000007</v>
      </c>
      <c r="K56">
        <v>0.6</v>
      </c>
      <c r="L56">
        <v>108423</v>
      </c>
      <c r="M56">
        <v>10842</v>
      </c>
      <c r="N56">
        <v>0.64700000000000002</v>
      </c>
      <c r="O56">
        <v>0</v>
      </c>
      <c r="P56">
        <v>805836</v>
      </c>
      <c r="Q56">
        <v>70129</v>
      </c>
      <c r="R56">
        <v>135498.57</v>
      </c>
      <c r="S56">
        <v>195748</v>
      </c>
      <c r="T56">
        <v>8.6999999999999994E-2</v>
      </c>
      <c r="U56">
        <v>0.51800000000000002</v>
      </c>
      <c r="V56">
        <v>5.9470000000000001</v>
      </c>
      <c r="W56">
        <v>0</v>
      </c>
      <c r="X56">
        <v>0</v>
      </c>
      <c r="Y56">
        <v>0</v>
      </c>
      <c r="Z56">
        <v>11</v>
      </c>
      <c r="AA56" t="s">
        <v>145</v>
      </c>
    </row>
    <row r="57" spans="1:27" x14ac:dyDescent="0.3">
      <c r="A57">
        <v>56</v>
      </c>
      <c r="B57">
        <v>52960</v>
      </c>
      <c r="C57" s="29">
        <v>45239</v>
      </c>
      <c r="D57" t="s">
        <v>222</v>
      </c>
      <c r="E57" t="s">
        <v>74</v>
      </c>
      <c r="F57" t="s">
        <v>92</v>
      </c>
      <c r="G57" t="s">
        <v>76</v>
      </c>
      <c r="H57">
        <v>8</v>
      </c>
      <c r="I57">
        <v>94</v>
      </c>
      <c r="J57">
        <v>11.8</v>
      </c>
      <c r="K57">
        <v>0.25</v>
      </c>
      <c r="L57">
        <v>84563</v>
      </c>
      <c r="M57">
        <v>10570</v>
      </c>
      <c r="N57">
        <v>1.048</v>
      </c>
      <c r="O57">
        <v>0.375</v>
      </c>
      <c r="P57">
        <v>681823</v>
      </c>
      <c r="Q57">
        <v>88614</v>
      </c>
      <c r="R57">
        <v>109824.78</v>
      </c>
      <c r="S57">
        <v>413822</v>
      </c>
      <c r="T57">
        <v>0.13</v>
      </c>
      <c r="U57">
        <v>0.80700000000000005</v>
      </c>
      <c r="V57">
        <v>6.2080000000000002</v>
      </c>
      <c r="W57">
        <v>0</v>
      </c>
      <c r="X57">
        <v>0</v>
      </c>
      <c r="Y57">
        <v>0</v>
      </c>
      <c r="Z57">
        <v>11</v>
      </c>
      <c r="AA57" t="s">
        <v>145</v>
      </c>
    </row>
    <row r="58" spans="1:27" x14ac:dyDescent="0.3">
      <c r="A58">
        <v>57</v>
      </c>
      <c r="B58">
        <v>52815</v>
      </c>
      <c r="C58" s="29">
        <v>45240</v>
      </c>
      <c r="D58" t="s">
        <v>222</v>
      </c>
      <c r="E58" t="s">
        <v>77</v>
      </c>
      <c r="F58" t="s">
        <v>78</v>
      </c>
      <c r="G58" t="s">
        <v>79</v>
      </c>
      <c r="H58">
        <v>9</v>
      </c>
      <c r="I58">
        <v>79</v>
      </c>
      <c r="J58">
        <v>8.8000000000000007</v>
      </c>
      <c r="K58">
        <v>0.222</v>
      </c>
      <c r="L58">
        <v>140775</v>
      </c>
      <c r="M58">
        <v>15642</v>
      </c>
      <c r="N58">
        <v>0.78400000000000003</v>
      </c>
      <c r="O58">
        <v>0</v>
      </c>
      <c r="P58">
        <v>651024</v>
      </c>
      <c r="Q58">
        <v>110393</v>
      </c>
      <c r="R58">
        <v>168040.29</v>
      </c>
      <c r="S58">
        <v>271407</v>
      </c>
      <c r="T58">
        <v>0.17</v>
      </c>
      <c r="U58">
        <v>0.65700000000000003</v>
      </c>
      <c r="V58">
        <v>3.8740000000000001</v>
      </c>
      <c r="W58">
        <v>647733</v>
      </c>
      <c r="X58">
        <v>149628</v>
      </c>
      <c r="Y58">
        <v>0.23100000000000001</v>
      </c>
      <c r="Z58">
        <v>11</v>
      </c>
      <c r="AA58" t="s">
        <v>145</v>
      </c>
    </row>
    <row r="59" spans="1:27" x14ac:dyDescent="0.3">
      <c r="A59">
        <v>58</v>
      </c>
      <c r="B59">
        <v>52817</v>
      </c>
      <c r="C59" s="29">
        <v>45240</v>
      </c>
      <c r="D59" t="s">
        <v>222</v>
      </c>
      <c r="E59" t="s">
        <v>77</v>
      </c>
      <c r="F59" t="s">
        <v>89</v>
      </c>
      <c r="G59" t="s">
        <v>81</v>
      </c>
      <c r="H59">
        <v>12</v>
      </c>
      <c r="I59">
        <v>164</v>
      </c>
      <c r="J59">
        <v>13.7</v>
      </c>
      <c r="K59">
        <v>0.16700000000000001</v>
      </c>
      <c r="L59">
        <v>134814</v>
      </c>
      <c r="M59">
        <v>11234</v>
      </c>
      <c r="N59">
        <v>1.4850000000000001</v>
      </c>
      <c r="O59">
        <v>8.3000000000000004E-2</v>
      </c>
      <c r="P59">
        <v>986403</v>
      </c>
      <c r="Q59">
        <v>200174</v>
      </c>
      <c r="R59">
        <v>164489</v>
      </c>
      <c r="S59">
        <v>334620</v>
      </c>
      <c r="T59">
        <v>0.20300000000000001</v>
      </c>
      <c r="U59">
        <v>1.2170000000000001</v>
      </c>
      <c r="V59">
        <v>5.9969999999999999</v>
      </c>
      <c r="W59">
        <v>811781</v>
      </c>
      <c r="X59">
        <v>185520</v>
      </c>
      <c r="Y59">
        <v>0.22900000000000001</v>
      </c>
      <c r="Z59">
        <v>11</v>
      </c>
      <c r="AA59" t="s">
        <v>145</v>
      </c>
    </row>
    <row r="60" spans="1:27" x14ac:dyDescent="0.3">
      <c r="A60">
        <v>59</v>
      </c>
      <c r="B60">
        <v>52961</v>
      </c>
      <c r="C60" s="29">
        <v>45242</v>
      </c>
      <c r="D60" t="s">
        <v>222</v>
      </c>
      <c r="E60" t="s">
        <v>82</v>
      </c>
      <c r="F60" t="s">
        <v>90</v>
      </c>
      <c r="G60" t="s">
        <v>76</v>
      </c>
      <c r="H60">
        <v>9</v>
      </c>
      <c r="I60">
        <v>83</v>
      </c>
      <c r="J60">
        <v>9.1999999999999993</v>
      </c>
      <c r="K60">
        <v>0.33300000000000002</v>
      </c>
      <c r="L60">
        <v>97680</v>
      </c>
      <c r="M60">
        <v>10853</v>
      </c>
      <c r="N60">
        <v>1.349</v>
      </c>
      <c r="O60">
        <v>0</v>
      </c>
      <c r="P60">
        <v>722489</v>
      </c>
      <c r="Q60">
        <v>131767</v>
      </c>
      <c r="R60">
        <v>132928.18</v>
      </c>
      <c r="S60">
        <v>211820</v>
      </c>
      <c r="T60">
        <v>0.182</v>
      </c>
      <c r="U60">
        <v>0.99099999999999999</v>
      </c>
      <c r="V60">
        <v>5.4349999999999996</v>
      </c>
      <c r="W60">
        <v>658107</v>
      </c>
      <c r="X60">
        <v>53464</v>
      </c>
      <c r="Y60">
        <v>8.1000000000000003E-2</v>
      </c>
      <c r="Z60">
        <v>11</v>
      </c>
      <c r="AA60" t="s">
        <v>145</v>
      </c>
    </row>
    <row r="61" spans="1:27" x14ac:dyDescent="0.3">
      <c r="A61">
        <v>60</v>
      </c>
      <c r="B61">
        <v>52928</v>
      </c>
      <c r="C61" s="29">
        <v>45243</v>
      </c>
      <c r="D61" t="s">
        <v>222</v>
      </c>
      <c r="E61" t="s">
        <v>99</v>
      </c>
      <c r="F61" t="s">
        <v>101</v>
      </c>
      <c r="G61" t="s">
        <v>79</v>
      </c>
      <c r="H61">
        <v>6</v>
      </c>
      <c r="I61">
        <v>54</v>
      </c>
      <c r="J61">
        <v>9</v>
      </c>
      <c r="K61">
        <v>0.5</v>
      </c>
      <c r="L61">
        <v>62535</v>
      </c>
      <c r="M61">
        <v>10422</v>
      </c>
      <c r="N61">
        <v>0.45600000000000002</v>
      </c>
      <c r="O61">
        <v>0.16700000000000001</v>
      </c>
      <c r="P61">
        <v>234178</v>
      </c>
      <c r="Q61">
        <v>28538</v>
      </c>
      <c r="R61">
        <v>81573.119999999995</v>
      </c>
      <c r="S61">
        <v>157265</v>
      </c>
      <c r="T61">
        <v>0.122</v>
      </c>
      <c r="U61">
        <v>0.35</v>
      </c>
      <c r="V61">
        <v>2.871</v>
      </c>
      <c r="W61">
        <v>213579</v>
      </c>
      <c r="X61">
        <v>60504</v>
      </c>
      <c r="Y61">
        <v>0.28299999999999997</v>
      </c>
      <c r="Z61">
        <v>11</v>
      </c>
      <c r="AA61" t="s">
        <v>145</v>
      </c>
    </row>
    <row r="62" spans="1:27" x14ac:dyDescent="0.3">
      <c r="A62">
        <v>61</v>
      </c>
      <c r="B62">
        <v>52765</v>
      </c>
      <c r="C62" s="29">
        <v>45244</v>
      </c>
      <c r="D62" t="s">
        <v>222</v>
      </c>
      <c r="E62" t="s">
        <v>83</v>
      </c>
      <c r="F62" t="s">
        <v>80</v>
      </c>
      <c r="G62" t="s">
        <v>81</v>
      </c>
      <c r="H62">
        <v>12</v>
      </c>
      <c r="I62">
        <v>155</v>
      </c>
      <c r="J62">
        <v>12.9</v>
      </c>
      <c r="K62">
        <v>0.25</v>
      </c>
      <c r="L62">
        <v>1363250</v>
      </c>
      <c r="M62">
        <v>105721</v>
      </c>
      <c r="N62">
        <v>1.208</v>
      </c>
      <c r="O62">
        <v>0.33300000000000002</v>
      </c>
      <c r="P62">
        <v>6939172</v>
      </c>
      <c r="Q62">
        <v>1647041</v>
      </c>
      <c r="R62">
        <v>1307738.6100000001</v>
      </c>
      <c r="S62">
        <v>798814</v>
      </c>
      <c r="T62">
        <v>0.23699999999999999</v>
      </c>
      <c r="U62">
        <v>1.2589999999999999</v>
      </c>
      <c r="V62">
        <v>5.306</v>
      </c>
      <c r="W62">
        <v>7508876</v>
      </c>
      <c r="X62">
        <v>1037174</v>
      </c>
      <c r="Y62">
        <v>0.13800000000000001</v>
      </c>
      <c r="Z62">
        <v>11</v>
      </c>
      <c r="AA62" t="s">
        <v>145</v>
      </c>
    </row>
    <row r="63" spans="1:27" x14ac:dyDescent="0.3">
      <c r="A63">
        <v>62</v>
      </c>
      <c r="B63">
        <v>52993</v>
      </c>
      <c r="C63" s="29">
        <v>45246</v>
      </c>
      <c r="D63" t="s">
        <v>222</v>
      </c>
      <c r="E63" t="s">
        <v>74</v>
      </c>
      <c r="F63" t="s">
        <v>86</v>
      </c>
      <c r="G63" t="s">
        <v>81</v>
      </c>
      <c r="H63">
        <v>11</v>
      </c>
      <c r="I63">
        <v>144</v>
      </c>
      <c r="J63">
        <v>13.1</v>
      </c>
      <c r="K63">
        <v>0.182</v>
      </c>
      <c r="L63">
        <v>141398</v>
      </c>
      <c r="M63">
        <v>12082</v>
      </c>
      <c r="N63">
        <v>1.462</v>
      </c>
      <c r="O63">
        <v>0.27300000000000002</v>
      </c>
      <c r="P63">
        <v>1224137</v>
      </c>
      <c r="Q63">
        <v>206761</v>
      </c>
      <c r="R63">
        <v>162882.5</v>
      </c>
      <c r="S63">
        <v>394368</v>
      </c>
      <c r="T63">
        <v>0.16900000000000001</v>
      </c>
      <c r="U63">
        <v>1.2689999999999999</v>
      </c>
      <c r="V63">
        <v>7.5149999999999997</v>
      </c>
      <c r="W63">
        <v>1642867</v>
      </c>
      <c r="X63">
        <v>172630</v>
      </c>
      <c r="Y63">
        <v>0.105</v>
      </c>
      <c r="Z63">
        <v>11</v>
      </c>
      <c r="AA63" t="s">
        <v>145</v>
      </c>
    </row>
    <row r="64" spans="1:27" x14ac:dyDescent="0.3">
      <c r="A64">
        <v>63</v>
      </c>
      <c r="B64">
        <v>52766</v>
      </c>
      <c r="C64" s="29">
        <v>45247</v>
      </c>
      <c r="D64" t="s">
        <v>222</v>
      </c>
      <c r="E64" t="s">
        <v>77</v>
      </c>
      <c r="F64" t="s">
        <v>80</v>
      </c>
      <c r="G64" t="s">
        <v>81</v>
      </c>
      <c r="H64">
        <v>12</v>
      </c>
      <c r="I64">
        <v>146</v>
      </c>
      <c r="J64">
        <v>12.2</v>
      </c>
      <c r="K64">
        <v>0.33300000000000002</v>
      </c>
      <c r="L64">
        <v>923175</v>
      </c>
      <c r="M64">
        <v>73156</v>
      </c>
      <c r="N64">
        <v>0.93500000000000005</v>
      </c>
      <c r="O64">
        <v>8.3000000000000004E-2</v>
      </c>
      <c r="P64">
        <v>3381897</v>
      </c>
      <c r="Q64">
        <v>863165</v>
      </c>
      <c r="R64">
        <v>916763.61</v>
      </c>
      <c r="S64">
        <v>551347</v>
      </c>
      <c r="T64">
        <v>0.255</v>
      </c>
      <c r="U64">
        <v>0.94199999999999995</v>
      </c>
      <c r="V64">
        <v>3.6890000000000001</v>
      </c>
      <c r="W64">
        <v>3909752</v>
      </c>
      <c r="X64">
        <v>440422</v>
      </c>
      <c r="Y64">
        <v>0.113</v>
      </c>
      <c r="Z64">
        <v>11</v>
      </c>
      <c r="AA64" t="s">
        <v>145</v>
      </c>
    </row>
    <row r="65" spans="1:27" x14ac:dyDescent="0.3">
      <c r="A65">
        <v>64</v>
      </c>
      <c r="B65">
        <v>52930</v>
      </c>
      <c r="C65" s="29">
        <v>45247</v>
      </c>
      <c r="D65" t="s">
        <v>222</v>
      </c>
      <c r="E65" t="s">
        <v>77</v>
      </c>
      <c r="F65" t="s">
        <v>84</v>
      </c>
      <c r="G65" t="s">
        <v>79</v>
      </c>
      <c r="H65">
        <v>8</v>
      </c>
      <c r="I65">
        <v>76</v>
      </c>
      <c r="J65">
        <v>9.5</v>
      </c>
      <c r="K65">
        <v>0.375</v>
      </c>
      <c r="L65">
        <v>125313</v>
      </c>
      <c r="M65">
        <v>15664</v>
      </c>
      <c r="N65">
        <v>6.0000000000000001E-3</v>
      </c>
      <c r="O65">
        <v>0.375</v>
      </c>
      <c r="P65">
        <v>556374</v>
      </c>
      <c r="Q65">
        <v>750</v>
      </c>
      <c r="R65">
        <v>151625.14000000001</v>
      </c>
      <c r="S65">
        <v>217825</v>
      </c>
      <c r="T65">
        <v>1E-3</v>
      </c>
      <c r="U65">
        <v>5.0000000000000001E-3</v>
      </c>
      <c r="V65">
        <v>3.669</v>
      </c>
      <c r="W65">
        <v>590516</v>
      </c>
      <c r="X65">
        <v>75098</v>
      </c>
      <c r="Y65">
        <v>0.127</v>
      </c>
      <c r="Z65">
        <v>11</v>
      </c>
      <c r="AA65" t="s">
        <v>145</v>
      </c>
    </row>
    <row r="66" spans="1:27" x14ac:dyDescent="0.3">
      <c r="A66">
        <v>65</v>
      </c>
      <c r="B66">
        <v>52969</v>
      </c>
      <c r="C66" s="29">
        <v>45249</v>
      </c>
      <c r="D66" t="s">
        <v>222</v>
      </c>
      <c r="E66" t="s">
        <v>82</v>
      </c>
      <c r="F66" t="s">
        <v>75</v>
      </c>
      <c r="G66" t="s">
        <v>76</v>
      </c>
      <c r="H66">
        <v>9</v>
      </c>
      <c r="I66">
        <v>81</v>
      </c>
      <c r="J66">
        <v>9</v>
      </c>
      <c r="K66">
        <v>0.33300000000000002</v>
      </c>
      <c r="L66">
        <v>101155</v>
      </c>
      <c r="M66">
        <v>11239</v>
      </c>
      <c r="N66">
        <v>1.855</v>
      </c>
      <c r="O66">
        <v>0</v>
      </c>
      <c r="P66">
        <v>726026</v>
      </c>
      <c r="Q66">
        <v>187624</v>
      </c>
      <c r="R66">
        <v>126324.55</v>
      </c>
      <c r="S66">
        <v>161551</v>
      </c>
      <c r="T66">
        <v>0.25800000000000001</v>
      </c>
      <c r="U66">
        <v>1.4850000000000001</v>
      </c>
      <c r="V66">
        <v>5.7469999999999999</v>
      </c>
      <c r="W66">
        <v>594111</v>
      </c>
      <c r="X66">
        <v>112396</v>
      </c>
      <c r="Y66">
        <v>0.189</v>
      </c>
      <c r="Z66">
        <v>11</v>
      </c>
      <c r="AA66" t="s">
        <v>145</v>
      </c>
    </row>
    <row r="67" spans="1:27" x14ac:dyDescent="0.3">
      <c r="A67">
        <v>66</v>
      </c>
      <c r="B67">
        <v>52963</v>
      </c>
      <c r="C67" s="29">
        <v>45251</v>
      </c>
      <c r="D67" t="s">
        <v>222</v>
      </c>
      <c r="E67" t="s">
        <v>83</v>
      </c>
      <c r="F67" t="s">
        <v>101</v>
      </c>
      <c r="G67" t="s">
        <v>79</v>
      </c>
      <c r="H67">
        <v>7</v>
      </c>
      <c r="I67">
        <v>61</v>
      </c>
      <c r="J67">
        <v>8.6999999999999993</v>
      </c>
      <c r="K67">
        <v>0.57099999999999995</v>
      </c>
      <c r="L67">
        <v>76768</v>
      </c>
      <c r="M67">
        <v>9752</v>
      </c>
      <c r="N67">
        <v>0.84699999999999998</v>
      </c>
      <c r="O67">
        <v>0</v>
      </c>
      <c r="P67">
        <v>296473</v>
      </c>
      <c r="Q67">
        <v>65055</v>
      </c>
      <c r="R67">
        <v>90904.37</v>
      </c>
      <c r="S67">
        <v>190523</v>
      </c>
      <c r="T67">
        <v>0.219</v>
      </c>
      <c r="U67">
        <v>0.71599999999999997</v>
      </c>
      <c r="V67">
        <v>3.2610000000000001</v>
      </c>
      <c r="W67">
        <v>421580</v>
      </c>
      <c r="X67">
        <v>92071</v>
      </c>
      <c r="Y67">
        <v>0.218</v>
      </c>
      <c r="Z67">
        <v>11</v>
      </c>
      <c r="AA67" t="s">
        <v>145</v>
      </c>
    </row>
    <row r="68" spans="1:27" x14ac:dyDescent="0.3">
      <c r="A68">
        <v>67</v>
      </c>
      <c r="B68">
        <v>52968</v>
      </c>
      <c r="C68" s="29">
        <v>45252</v>
      </c>
      <c r="D68" t="s">
        <v>222</v>
      </c>
      <c r="E68" t="s">
        <v>96</v>
      </c>
      <c r="F68" t="s">
        <v>89</v>
      </c>
      <c r="G68" t="s">
        <v>81</v>
      </c>
      <c r="H68">
        <v>8</v>
      </c>
      <c r="I68">
        <v>78</v>
      </c>
      <c r="J68">
        <v>9.8000000000000007</v>
      </c>
      <c r="K68">
        <v>0.25</v>
      </c>
      <c r="L68">
        <v>80053</v>
      </c>
      <c r="M68">
        <v>10007</v>
      </c>
      <c r="N68">
        <v>2.0960000000000001</v>
      </c>
      <c r="O68">
        <v>0</v>
      </c>
      <c r="P68">
        <v>507525</v>
      </c>
      <c r="Q68">
        <v>167810</v>
      </c>
      <c r="R68">
        <v>109626.5</v>
      </c>
      <c r="S68">
        <v>207997</v>
      </c>
      <c r="T68">
        <v>0.33100000000000002</v>
      </c>
      <c r="U68">
        <v>1.5309999999999999</v>
      </c>
      <c r="V68">
        <v>4.63</v>
      </c>
      <c r="W68">
        <v>543699</v>
      </c>
      <c r="X68">
        <v>74489</v>
      </c>
      <c r="Y68">
        <v>0.13700000000000001</v>
      </c>
      <c r="Z68">
        <v>11</v>
      </c>
      <c r="AA68" t="s">
        <v>145</v>
      </c>
    </row>
    <row r="69" spans="1:27" x14ac:dyDescent="0.3">
      <c r="A69">
        <v>68</v>
      </c>
      <c r="B69">
        <v>52963</v>
      </c>
      <c r="C69" s="29">
        <v>45253</v>
      </c>
      <c r="D69" t="s">
        <v>222</v>
      </c>
      <c r="E69" t="s">
        <v>74</v>
      </c>
      <c r="F69" t="s">
        <v>101</v>
      </c>
      <c r="G69" t="s">
        <v>79</v>
      </c>
      <c r="H69">
        <v>8</v>
      </c>
      <c r="I69">
        <v>72</v>
      </c>
      <c r="J69">
        <v>9</v>
      </c>
      <c r="K69">
        <v>0.5</v>
      </c>
      <c r="L69">
        <v>93750</v>
      </c>
      <c r="M69">
        <v>9844</v>
      </c>
      <c r="N69">
        <v>1.012</v>
      </c>
      <c r="O69">
        <v>0.625</v>
      </c>
      <c r="P69">
        <v>479196</v>
      </c>
      <c r="Q69">
        <v>94859</v>
      </c>
      <c r="R69">
        <v>100688.12</v>
      </c>
      <c r="S69">
        <v>256895</v>
      </c>
      <c r="T69">
        <v>0.19800000000000001</v>
      </c>
      <c r="U69">
        <v>0.94199999999999995</v>
      </c>
      <c r="V69">
        <v>4.7590000000000003</v>
      </c>
      <c r="W69">
        <v>421580</v>
      </c>
      <c r="X69">
        <v>92071</v>
      </c>
      <c r="Y69">
        <v>0.218</v>
      </c>
      <c r="Z69">
        <v>11</v>
      </c>
      <c r="AA69" t="s">
        <v>145</v>
      </c>
    </row>
    <row r="70" spans="1:27" x14ac:dyDescent="0.3">
      <c r="A70">
        <v>69</v>
      </c>
      <c r="B70">
        <v>52970</v>
      </c>
      <c r="C70" s="29">
        <v>45253</v>
      </c>
      <c r="D70" t="s">
        <v>222</v>
      </c>
      <c r="E70" t="s">
        <v>74</v>
      </c>
      <c r="F70" t="s">
        <v>85</v>
      </c>
      <c r="G70" t="s">
        <v>76</v>
      </c>
      <c r="H70">
        <v>8</v>
      </c>
      <c r="I70">
        <v>60</v>
      </c>
      <c r="J70">
        <v>7.5</v>
      </c>
      <c r="K70">
        <v>0.25</v>
      </c>
      <c r="L70">
        <v>80157</v>
      </c>
      <c r="M70">
        <v>10020</v>
      </c>
      <c r="N70">
        <v>1.296</v>
      </c>
      <c r="O70">
        <v>0.25</v>
      </c>
      <c r="P70">
        <v>387967</v>
      </c>
      <c r="Q70">
        <v>103885</v>
      </c>
      <c r="R70">
        <v>107233.57</v>
      </c>
      <c r="S70">
        <v>156700</v>
      </c>
      <c r="T70">
        <v>0.26800000000000002</v>
      </c>
      <c r="U70">
        <v>0.96899999999999997</v>
      </c>
      <c r="V70">
        <v>3.6179999999999999</v>
      </c>
      <c r="W70">
        <v>492917</v>
      </c>
      <c r="X70">
        <v>59455</v>
      </c>
      <c r="Y70">
        <v>0.121</v>
      </c>
      <c r="Z70">
        <v>11</v>
      </c>
      <c r="AA70" t="s">
        <v>145</v>
      </c>
    </row>
    <row r="71" spans="1:27" x14ac:dyDescent="0.3">
      <c r="A71">
        <v>70</v>
      </c>
      <c r="B71">
        <v>52992</v>
      </c>
      <c r="C71" s="29">
        <v>45254</v>
      </c>
      <c r="D71" t="s">
        <v>222</v>
      </c>
      <c r="E71" t="s">
        <v>77</v>
      </c>
      <c r="F71" t="s">
        <v>78</v>
      </c>
      <c r="G71" t="s">
        <v>79</v>
      </c>
      <c r="H71">
        <v>8</v>
      </c>
      <c r="I71">
        <v>63</v>
      </c>
      <c r="J71">
        <v>7.9</v>
      </c>
      <c r="K71">
        <v>0.375</v>
      </c>
      <c r="L71">
        <v>124322</v>
      </c>
      <c r="M71">
        <v>15540</v>
      </c>
      <c r="N71">
        <v>0.81200000000000006</v>
      </c>
      <c r="O71">
        <v>0</v>
      </c>
      <c r="P71">
        <v>622152</v>
      </c>
      <c r="Q71">
        <v>100961</v>
      </c>
      <c r="R71">
        <v>151587.79</v>
      </c>
      <c r="S71">
        <v>327848</v>
      </c>
      <c r="T71">
        <v>0.16200000000000001</v>
      </c>
      <c r="U71">
        <v>0.66600000000000004</v>
      </c>
      <c r="V71">
        <v>4.1040000000000001</v>
      </c>
      <c r="W71">
        <v>755902</v>
      </c>
      <c r="X71">
        <v>135934</v>
      </c>
      <c r="Y71">
        <v>0.18</v>
      </c>
      <c r="Z71">
        <v>11</v>
      </c>
      <c r="AA71" t="s">
        <v>145</v>
      </c>
    </row>
    <row r="72" spans="1:27" x14ac:dyDescent="0.3">
      <c r="A72">
        <v>71</v>
      </c>
      <c r="B72">
        <v>52995</v>
      </c>
      <c r="C72" s="29">
        <v>45255</v>
      </c>
      <c r="D72" t="s">
        <v>222</v>
      </c>
      <c r="E72" t="s">
        <v>93</v>
      </c>
      <c r="F72" t="s">
        <v>95</v>
      </c>
      <c r="G72" t="s">
        <v>81</v>
      </c>
      <c r="H72">
        <v>10</v>
      </c>
      <c r="I72">
        <v>122</v>
      </c>
      <c r="J72">
        <v>12.2</v>
      </c>
      <c r="K72">
        <v>0.4</v>
      </c>
      <c r="L72">
        <v>147313</v>
      </c>
      <c r="M72">
        <v>14731</v>
      </c>
      <c r="N72">
        <v>1.26</v>
      </c>
      <c r="O72">
        <v>0.2</v>
      </c>
      <c r="P72">
        <v>982820</v>
      </c>
      <c r="Q72">
        <v>185544</v>
      </c>
      <c r="R72">
        <v>166743.53</v>
      </c>
      <c r="S72">
        <v>222867</v>
      </c>
      <c r="T72">
        <v>0.189</v>
      </c>
      <c r="U72">
        <v>1.113</v>
      </c>
      <c r="V72">
        <v>5.8940000000000001</v>
      </c>
      <c r="W72">
        <v>814680</v>
      </c>
      <c r="X72">
        <v>189343</v>
      </c>
      <c r="Y72">
        <v>0.23200000000000001</v>
      </c>
      <c r="Z72">
        <v>11</v>
      </c>
      <c r="AA72" t="s">
        <v>145</v>
      </c>
    </row>
    <row r="73" spans="1:27" x14ac:dyDescent="0.3">
      <c r="A73">
        <v>72</v>
      </c>
      <c r="B73">
        <v>52996</v>
      </c>
      <c r="C73" s="29">
        <v>45256</v>
      </c>
      <c r="D73" t="s">
        <v>222</v>
      </c>
      <c r="E73" t="s">
        <v>82</v>
      </c>
      <c r="F73" t="s">
        <v>94</v>
      </c>
      <c r="G73" t="s">
        <v>81</v>
      </c>
      <c r="H73">
        <v>10</v>
      </c>
      <c r="I73">
        <v>132</v>
      </c>
      <c r="J73">
        <v>13.2</v>
      </c>
      <c r="K73">
        <v>0.3</v>
      </c>
      <c r="L73">
        <v>112310</v>
      </c>
      <c r="M73">
        <v>11231</v>
      </c>
      <c r="N73">
        <v>2.3220000000000001</v>
      </c>
      <c r="O73">
        <v>0.2</v>
      </c>
      <c r="P73">
        <v>1201922</v>
      </c>
      <c r="Q73">
        <v>260807</v>
      </c>
      <c r="R73">
        <v>149226.26</v>
      </c>
      <c r="S73">
        <v>237335</v>
      </c>
      <c r="T73">
        <v>0.217</v>
      </c>
      <c r="U73">
        <v>1.748</v>
      </c>
      <c r="V73">
        <v>8.0540000000000003</v>
      </c>
      <c r="W73">
        <v>853002</v>
      </c>
      <c r="X73">
        <v>153512</v>
      </c>
      <c r="Y73">
        <v>0.18</v>
      </c>
      <c r="Z73">
        <v>11</v>
      </c>
      <c r="AA73" t="s">
        <v>145</v>
      </c>
    </row>
    <row r="74" spans="1:27" x14ac:dyDescent="0.3">
      <c r="A74">
        <v>73</v>
      </c>
      <c r="B74">
        <v>52976</v>
      </c>
      <c r="C74" s="29">
        <v>45259</v>
      </c>
      <c r="D74" t="s">
        <v>222</v>
      </c>
      <c r="E74" t="s">
        <v>96</v>
      </c>
      <c r="F74" t="s">
        <v>85</v>
      </c>
      <c r="G74" t="s">
        <v>76</v>
      </c>
      <c r="H74">
        <v>9</v>
      </c>
      <c r="I74">
        <v>83</v>
      </c>
      <c r="J74">
        <v>9.1999999999999993</v>
      </c>
      <c r="K74">
        <v>0.44400000000000001</v>
      </c>
      <c r="L74">
        <v>97600</v>
      </c>
      <c r="M74">
        <v>10844</v>
      </c>
      <c r="N74">
        <v>0.77</v>
      </c>
      <c r="O74">
        <v>0</v>
      </c>
      <c r="P74">
        <v>472589</v>
      </c>
      <c r="Q74">
        <v>75121</v>
      </c>
      <c r="R74">
        <v>124676.07</v>
      </c>
      <c r="S74">
        <v>264819</v>
      </c>
      <c r="T74">
        <v>0.159</v>
      </c>
      <c r="U74">
        <v>0.60299999999999998</v>
      </c>
      <c r="V74">
        <v>3.7909999999999999</v>
      </c>
      <c r="W74">
        <v>0</v>
      </c>
      <c r="X74">
        <v>0</v>
      </c>
      <c r="Y74">
        <v>0</v>
      </c>
      <c r="Z74">
        <v>11</v>
      </c>
      <c r="AA74" t="s">
        <v>145</v>
      </c>
    </row>
    <row r="75" spans="1:27" x14ac:dyDescent="0.3">
      <c r="A75">
        <v>74</v>
      </c>
      <c r="B75">
        <v>52994</v>
      </c>
      <c r="C75" s="29">
        <v>45260</v>
      </c>
      <c r="D75" t="s">
        <v>222</v>
      </c>
      <c r="E75" t="s">
        <v>74</v>
      </c>
      <c r="F75" t="s">
        <v>78</v>
      </c>
      <c r="G75" t="s">
        <v>79</v>
      </c>
      <c r="H75">
        <v>9</v>
      </c>
      <c r="I75">
        <v>74</v>
      </c>
      <c r="J75">
        <v>8.1999999999999993</v>
      </c>
      <c r="K75">
        <v>0.111</v>
      </c>
      <c r="L75">
        <v>141341</v>
      </c>
      <c r="M75">
        <v>15705</v>
      </c>
      <c r="N75">
        <v>0.88900000000000001</v>
      </c>
      <c r="O75">
        <v>0.111</v>
      </c>
      <c r="P75">
        <v>583465</v>
      </c>
      <c r="Q75">
        <v>125656</v>
      </c>
      <c r="R75">
        <v>168967.79</v>
      </c>
      <c r="S75">
        <v>223738</v>
      </c>
      <c r="T75">
        <v>0.215</v>
      </c>
      <c r="U75">
        <v>0.74399999999999999</v>
      </c>
      <c r="V75">
        <v>3.4529999999999998</v>
      </c>
      <c r="W75">
        <v>388366</v>
      </c>
      <c r="X75">
        <v>115742</v>
      </c>
      <c r="Y75">
        <v>0.29799999999999999</v>
      </c>
      <c r="Z75">
        <v>11</v>
      </c>
      <c r="AA75" t="s">
        <v>145</v>
      </c>
    </row>
    <row r="76" spans="1:27" x14ac:dyDescent="0.3">
      <c r="A76">
        <v>75</v>
      </c>
      <c r="B76">
        <v>53007</v>
      </c>
      <c r="C76" s="29">
        <v>45261</v>
      </c>
      <c r="D76" t="s">
        <v>222</v>
      </c>
      <c r="E76" t="s">
        <v>77</v>
      </c>
      <c r="F76" t="s">
        <v>80</v>
      </c>
      <c r="G76" t="s">
        <v>81</v>
      </c>
      <c r="H76">
        <v>9</v>
      </c>
      <c r="I76">
        <v>90</v>
      </c>
      <c r="J76">
        <v>10</v>
      </c>
      <c r="K76">
        <v>0.33300000000000002</v>
      </c>
      <c r="L76">
        <v>357167</v>
      </c>
      <c r="M76">
        <v>38196</v>
      </c>
      <c r="N76">
        <v>0.67900000000000005</v>
      </c>
      <c r="O76">
        <v>0.222</v>
      </c>
      <c r="P76">
        <v>1165493</v>
      </c>
      <c r="Q76">
        <v>242525</v>
      </c>
      <c r="R76">
        <v>382556.11</v>
      </c>
      <c r="S76">
        <v>285716</v>
      </c>
      <c r="T76">
        <v>0.20799999999999999</v>
      </c>
      <c r="U76">
        <v>0.63400000000000001</v>
      </c>
      <c r="V76">
        <v>3.0470000000000002</v>
      </c>
      <c r="W76">
        <v>1221321</v>
      </c>
      <c r="X76">
        <v>282312</v>
      </c>
      <c r="Y76">
        <v>0.23100000000000001</v>
      </c>
      <c r="Z76">
        <v>12</v>
      </c>
      <c r="AA76" t="s">
        <v>145</v>
      </c>
    </row>
    <row r="77" spans="1:27" x14ac:dyDescent="0.3">
      <c r="A77">
        <v>76</v>
      </c>
      <c r="B77">
        <v>53008</v>
      </c>
      <c r="C77" s="29">
        <v>45262</v>
      </c>
      <c r="D77" t="s">
        <v>222</v>
      </c>
      <c r="E77" t="s">
        <v>93</v>
      </c>
      <c r="F77" t="s">
        <v>102</v>
      </c>
      <c r="G77" t="s">
        <v>81</v>
      </c>
      <c r="H77">
        <v>11</v>
      </c>
      <c r="I77">
        <v>131</v>
      </c>
      <c r="J77">
        <v>11.9</v>
      </c>
      <c r="K77">
        <v>0.36399999999999999</v>
      </c>
      <c r="L77">
        <v>139624</v>
      </c>
      <c r="M77">
        <v>12693</v>
      </c>
      <c r="N77">
        <v>0.56499999999999995</v>
      </c>
      <c r="O77">
        <v>0.27300000000000002</v>
      </c>
      <c r="P77">
        <v>782628</v>
      </c>
      <c r="Q77">
        <v>78918</v>
      </c>
      <c r="R77">
        <v>167285</v>
      </c>
      <c r="S77">
        <v>203817</v>
      </c>
      <c r="T77">
        <v>0.10100000000000001</v>
      </c>
      <c r="U77">
        <v>0.47199999999999998</v>
      </c>
      <c r="V77">
        <v>4.6779999999999999</v>
      </c>
      <c r="W77">
        <v>1012486</v>
      </c>
      <c r="X77">
        <v>218740</v>
      </c>
      <c r="Y77">
        <v>0.216</v>
      </c>
      <c r="Z77">
        <v>12</v>
      </c>
      <c r="AA77" t="s">
        <v>145</v>
      </c>
    </row>
    <row r="78" spans="1:27" x14ac:dyDescent="0.3">
      <c r="A78">
        <v>77</v>
      </c>
      <c r="B78">
        <v>53009</v>
      </c>
      <c r="C78" s="29">
        <v>45263</v>
      </c>
      <c r="D78" t="s">
        <v>222</v>
      </c>
      <c r="E78" t="s">
        <v>82</v>
      </c>
      <c r="F78" t="s">
        <v>91</v>
      </c>
      <c r="G78" t="s">
        <v>81</v>
      </c>
      <c r="H78">
        <v>11</v>
      </c>
      <c r="I78">
        <v>139</v>
      </c>
      <c r="J78">
        <v>12.6</v>
      </c>
      <c r="K78">
        <v>0.45500000000000002</v>
      </c>
      <c r="L78">
        <v>162203</v>
      </c>
      <c r="M78">
        <v>14746</v>
      </c>
      <c r="N78">
        <v>1.714</v>
      </c>
      <c r="O78">
        <v>0.182</v>
      </c>
      <c r="P78">
        <v>1227603</v>
      </c>
      <c r="Q78">
        <v>278020</v>
      </c>
      <c r="R78">
        <v>189678.58</v>
      </c>
      <c r="S78">
        <v>268261</v>
      </c>
      <c r="T78">
        <v>0.22600000000000001</v>
      </c>
      <c r="U78">
        <v>1.466</v>
      </c>
      <c r="V78">
        <v>6.4720000000000004</v>
      </c>
      <c r="W78">
        <v>1246414</v>
      </c>
      <c r="X78">
        <v>270721</v>
      </c>
      <c r="Y78">
        <v>0.217</v>
      </c>
      <c r="Z78">
        <v>12</v>
      </c>
      <c r="AA78" t="s">
        <v>145</v>
      </c>
    </row>
    <row r="79" spans="1:27" x14ac:dyDescent="0.3">
      <c r="A79">
        <v>78</v>
      </c>
      <c r="B79">
        <v>52999</v>
      </c>
      <c r="C79" s="29">
        <v>45267</v>
      </c>
      <c r="D79" t="s">
        <v>222</v>
      </c>
      <c r="E79" t="s">
        <v>74</v>
      </c>
      <c r="F79" t="s">
        <v>84</v>
      </c>
      <c r="G79" t="s">
        <v>79</v>
      </c>
      <c r="H79">
        <v>7</v>
      </c>
      <c r="I79">
        <v>61</v>
      </c>
      <c r="J79">
        <v>8.6999999999999993</v>
      </c>
      <c r="K79">
        <v>0.42899999999999999</v>
      </c>
      <c r="L79">
        <v>69817</v>
      </c>
      <c r="M79">
        <v>9974</v>
      </c>
      <c r="N79">
        <v>0.67600000000000005</v>
      </c>
      <c r="O79">
        <v>0.14299999999999999</v>
      </c>
      <c r="P79">
        <v>425069</v>
      </c>
      <c r="Q79">
        <v>47178</v>
      </c>
      <c r="R79">
        <v>96765.14</v>
      </c>
      <c r="S79">
        <v>209138</v>
      </c>
      <c r="T79">
        <v>0.111</v>
      </c>
      <c r="U79">
        <v>0.48799999999999999</v>
      </c>
      <c r="V79">
        <v>4.3929999999999998</v>
      </c>
      <c r="W79">
        <v>0</v>
      </c>
      <c r="X79">
        <v>0</v>
      </c>
      <c r="Y79">
        <v>0</v>
      </c>
      <c r="Z79">
        <v>12</v>
      </c>
      <c r="AA79" t="s">
        <v>145</v>
      </c>
    </row>
    <row r="80" spans="1:27" x14ac:dyDescent="0.3">
      <c r="A80">
        <v>79</v>
      </c>
      <c r="B80">
        <v>52982</v>
      </c>
      <c r="C80" s="29">
        <v>45268</v>
      </c>
      <c r="D80" t="s">
        <v>222</v>
      </c>
      <c r="E80" t="s">
        <v>77</v>
      </c>
      <c r="F80" t="s">
        <v>104</v>
      </c>
      <c r="G80" t="s">
        <v>76</v>
      </c>
      <c r="H80">
        <v>10</v>
      </c>
      <c r="I80">
        <v>111</v>
      </c>
      <c r="J80">
        <v>11.1</v>
      </c>
      <c r="K80">
        <v>0.5</v>
      </c>
      <c r="L80">
        <v>117022</v>
      </c>
      <c r="M80">
        <v>11702</v>
      </c>
      <c r="N80">
        <v>0.40699999999999997</v>
      </c>
      <c r="O80">
        <v>0</v>
      </c>
      <c r="P80">
        <v>673443</v>
      </c>
      <c r="Q80">
        <v>47638</v>
      </c>
      <c r="R80">
        <v>134140.79999999999</v>
      </c>
      <c r="S80">
        <v>143172</v>
      </c>
      <c r="T80">
        <v>7.0999999999999994E-2</v>
      </c>
      <c r="U80">
        <v>0.35499999999999998</v>
      </c>
      <c r="V80">
        <v>5.0199999999999996</v>
      </c>
      <c r="W80">
        <v>747400</v>
      </c>
      <c r="X80">
        <v>103407</v>
      </c>
      <c r="Y80">
        <v>0.13800000000000001</v>
      </c>
      <c r="Z80">
        <v>12</v>
      </c>
      <c r="AA80" t="s">
        <v>145</v>
      </c>
    </row>
    <row r="81" spans="1:27" x14ac:dyDescent="0.3">
      <c r="A81">
        <v>80</v>
      </c>
      <c r="B81">
        <v>53000</v>
      </c>
      <c r="C81" s="29">
        <v>45268</v>
      </c>
      <c r="D81" t="s">
        <v>222</v>
      </c>
      <c r="E81" t="s">
        <v>77</v>
      </c>
      <c r="F81" t="s">
        <v>78</v>
      </c>
      <c r="G81" t="s">
        <v>79</v>
      </c>
      <c r="H81">
        <v>8</v>
      </c>
      <c r="I81">
        <v>70</v>
      </c>
      <c r="J81">
        <v>8.8000000000000007</v>
      </c>
      <c r="K81">
        <v>0.375</v>
      </c>
      <c r="L81">
        <v>154620</v>
      </c>
      <c r="M81">
        <v>19328</v>
      </c>
      <c r="N81">
        <v>9.7000000000000003E-2</v>
      </c>
      <c r="O81">
        <v>0</v>
      </c>
      <c r="P81">
        <v>629369</v>
      </c>
      <c r="Q81">
        <v>15016</v>
      </c>
      <c r="R81">
        <v>181985.29</v>
      </c>
      <c r="S81">
        <v>168178</v>
      </c>
      <c r="T81">
        <v>2.4E-2</v>
      </c>
      <c r="U81">
        <v>8.3000000000000004E-2</v>
      </c>
      <c r="V81">
        <v>3.4580000000000002</v>
      </c>
      <c r="W81">
        <v>670529</v>
      </c>
      <c r="X81">
        <v>181782</v>
      </c>
      <c r="Y81">
        <v>0.27100000000000002</v>
      </c>
      <c r="Z81">
        <v>12</v>
      </c>
      <c r="AA81" t="s">
        <v>145</v>
      </c>
    </row>
    <row r="82" spans="1:27" x14ac:dyDescent="0.3">
      <c r="A82">
        <v>81</v>
      </c>
      <c r="B82">
        <v>53010</v>
      </c>
      <c r="C82" s="29">
        <v>45269</v>
      </c>
      <c r="D82" t="s">
        <v>222</v>
      </c>
      <c r="E82" t="s">
        <v>93</v>
      </c>
      <c r="F82" t="s">
        <v>103</v>
      </c>
      <c r="G82" t="s">
        <v>81</v>
      </c>
      <c r="H82">
        <v>12</v>
      </c>
      <c r="I82">
        <v>148</v>
      </c>
      <c r="J82">
        <v>12.3</v>
      </c>
      <c r="K82">
        <v>0.16700000000000001</v>
      </c>
      <c r="L82">
        <v>193245</v>
      </c>
      <c r="M82">
        <v>16104</v>
      </c>
      <c r="N82">
        <v>0.93300000000000005</v>
      </c>
      <c r="O82">
        <v>0.5</v>
      </c>
      <c r="P82">
        <v>1140492</v>
      </c>
      <c r="Q82">
        <v>180230</v>
      </c>
      <c r="R82">
        <v>205999.75</v>
      </c>
      <c r="S82">
        <v>306431</v>
      </c>
      <c r="T82">
        <v>0.158</v>
      </c>
      <c r="U82">
        <v>0.875</v>
      </c>
      <c r="V82">
        <v>5.5359999999999996</v>
      </c>
      <c r="W82">
        <v>1198012</v>
      </c>
      <c r="X82">
        <v>134054</v>
      </c>
      <c r="Y82">
        <v>0.112</v>
      </c>
      <c r="Z82">
        <v>12</v>
      </c>
      <c r="AA82" t="s">
        <v>145</v>
      </c>
    </row>
    <row r="83" spans="1:27" x14ac:dyDescent="0.3">
      <c r="A83">
        <v>82</v>
      </c>
      <c r="B83">
        <v>52340</v>
      </c>
      <c r="C83" s="29">
        <v>45270</v>
      </c>
      <c r="D83" t="s">
        <v>222</v>
      </c>
      <c r="E83" t="s">
        <v>82</v>
      </c>
      <c r="F83" t="s">
        <v>80</v>
      </c>
      <c r="G83" t="s">
        <v>81</v>
      </c>
      <c r="H83">
        <v>10</v>
      </c>
      <c r="I83">
        <v>110</v>
      </c>
      <c r="J83">
        <v>11</v>
      </c>
      <c r="K83">
        <v>0.5</v>
      </c>
      <c r="L83">
        <v>1155250</v>
      </c>
      <c r="M83">
        <v>115525</v>
      </c>
      <c r="N83">
        <v>0.183</v>
      </c>
      <c r="O83">
        <v>0</v>
      </c>
      <c r="P83">
        <v>1836417</v>
      </c>
      <c r="Q83">
        <v>211803</v>
      </c>
      <c r="R83">
        <v>1193938.6100000001</v>
      </c>
      <c r="S83">
        <v>482713</v>
      </c>
      <c r="T83">
        <v>0.115</v>
      </c>
      <c r="U83">
        <v>0.17699999999999999</v>
      </c>
      <c r="V83">
        <v>1.538</v>
      </c>
      <c r="W83">
        <v>2139338</v>
      </c>
      <c r="X83">
        <v>379150</v>
      </c>
      <c r="Y83">
        <v>0.17699999999999999</v>
      </c>
      <c r="Z83">
        <v>12</v>
      </c>
      <c r="AA83" t="s">
        <v>145</v>
      </c>
    </row>
    <row r="84" spans="1:27" x14ac:dyDescent="0.3">
      <c r="A84">
        <v>83</v>
      </c>
      <c r="B84">
        <v>53145</v>
      </c>
      <c r="C84" s="29">
        <v>45272</v>
      </c>
      <c r="D84" t="s">
        <v>222</v>
      </c>
      <c r="E84" t="s">
        <v>83</v>
      </c>
      <c r="F84" t="s">
        <v>101</v>
      </c>
      <c r="G84" t="s">
        <v>79</v>
      </c>
      <c r="H84">
        <v>8</v>
      </c>
      <c r="I84">
        <v>65</v>
      </c>
      <c r="J84">
        <v>8.1</v>
      </c>
      <c r="K84">
        <v>0.75</v>
      </c>
      <c r="L84">
        <v>85762</v>
      </c>
      <c r="M84">
        <v>10720</v>
      </c>
      <c r="N84">
        <v>-1.0649999999999999</v>
      </c>
      <c r="O84">
        <v>0</v>
      </c>
      <c r="P84">
        <v>326168</v>
      </c>
      <c r="Q84">
        <v>-91370</v>
      </c>
      <c r="R84">
        <v>99999.37</v>
      </c>
      <c r="S84">
        <v>145492</v>
      </c>
      <c r="T84">
        <v>-0.28000000000000003</v>
      </c>
      <c r="U84">
        <v>-0.91400000000000003</v>
      </c>
      <c r="V84">
        <v>3.262</v>
      </c>
      <c r="W84">
        <v>400477</v>
      </c>
      <c r="X84">
        <v>27142</v>
      </c>
      <c r="Y84">
        <v>6.8000000000000005E-2</v>
      </c>
      <c r="Z84">
        <v>12</v>
      </c>
      <c r="AA84" t="s">
        <v>145</v>
      </c>
    </row>
    <row r="85" spans="1:27" x14ac:dyDescent="0.3">
      <c r="A85">
        <v>84</v>
      </c>
      <c r="B85">
        <v>52983</v>
      </c>
      <c r="C85" s="29">
        <v>45273</v>
      </c>
      <c r="D85" t="s">
        <v>222</v>
      </c>
      <c r="E85" t="s">
        <v>96</v>
      </c>
      <c r="F85" t="s">
        <v>92</v>
      </c>
      <c r="G85" t="s">
        <v>76</v>
      </c>
      <c r="H85">
        <v>9</v>
      </c>
      <c r="I85">
        <v>94</v>
      </c>
      <c r="J85">
        <v>10.4</v>
      </c>
      <c r="K85">
        <v>0.222</v>
      </c>
      <c r="L85">
        <v>93990</v>
      </c>
      <c r="M85">
        <v>10443</v>
      </c>
      <c r="N85">
        <v>1.4350000000000001</v>
      </c>
      <c r="O85">
        <v>0.222</v>
      </c>
      <c r="P85">
        <v>646415</v>
      </c>
      <c r="Q85">
        <v>134853</v>
      </c>
      <c r="R85">
        <v>119252.28</v>
      </c>
      <c r="S85">
        <v>296717</v>
      </c>
      <c r="T85">
        <v>0.20899999999999999</v>
      </c>
      <c r="U85">
        <v>1.131</v>
      </c>
      <c r="V85">
        <v>5.4210000000000003</v>
      </c>
      <c r="W85">
        <v>713274</v>
      </c>
      <c r="X85">
        <v>205430</v>
      </c>
      <c r="Y85">
        <v>0.28799999999999998</v>
      </c>
      <c r="Z85">
        <v>12</v>
      </c>
      <c r="AA85" t="s">
        <v>145</v>
      </c>
    </row>
    <row r="86" spans="1:27" x14ac:dyDescent="0.3">
      <c r="A86">
        <v>85</v>
      </c>
      <c r="B86">
        <v>52984</v>
      </c>
      <c r="C86" s="29">
        <v>45274</v>
      </c>
      <c r="D86" t="s">
        <v>222</v>
      </c>
      <c r="E86" t="s">
        <v>74</v>
      </c>
      <c r="F86" t="s">
        <v>75</v>
      </c>
      <c r="G86" t="s">
        <v>76</v>
      </c>
      <c r="H86">
        <v>10</v>
      </c>
      <c r="I86">
        <v>105</v>
      </c>
      <c r="J86">
        <v>10.5</v>
      </c>
      <c r="K86">
        <v>0.6</v>
      </c>
      <c r="L86">
        <v>123394</v>
      </c>
      <c r="M86">
        <v>12339</v>
      </c>
      <c r="N86">
        <v>0.54500000000000004</v>
      </c>
      <c r="O86">
        <v>0</v>
      </c>
      <c r="P86">
        <v>643409</v>
      </c>
      <c r="Q86">
        <v>67202</v>
      </c>
      <c r="R86">
        <v>148364.54999999999</v>
      </c>
      <c r="S86">
        <v>360705</v>
      </c>
      <c r="T86">
        <v>0.104</v>
      </c>
      <c r="U86">
        <v>0.45300000000000001</v>
      </c>
      <c r="V86">
        <v>4.3369999999999997</v>
      </c>
      <c r="W86">
        <v>684631</v>
      </c>
      <c r="X86">
        <v>107692</v>
      </c>
      <c r="Y86">
        <v>0.157</v>
      </c>
      <c r="Z86">
        <v>12</v>
      </c>
      <c r="AA86" t="s">
        <v>145</v>
      </c>
    </row>
    <row r="87" spans="1:27" x14ac:dyDescent="0.3">
      <c r="A87">
        <v>86</v>
      </c>
      <c r="B87">
        <v>53145</v>
      </c>
      <c r="C87" s="29">
        <v>45274</v>
      </c>
      <c r="D87" t="s">
        <v>222</v>
      </c>
      <c r="E87" t="s">
        <v>74</v>
      </c>
      <c r="F87" t="s">
        <v>101</v>
      </c>
      <c r="G87" t="s">
        <v>79</v>
      </c>
      <c r="H87">
        <v>8</v>
      </c>
      <c r="I87">
        <v>68</v>
      </c>
      <c r="J87">
        <v>8.5</v>
      </c>
      <c r="K87">
        <v>0.25</v>
      </c>
      <c r="L87">
        <v>96420</v>
      </c>
      <c r="M87">
        <v>12052</v>
      </c>
      <c r="N87">
        <v>1.0649999999999999</v>
      </c>
      <c r="O87">
        <v>0.375</v>
      </c>
      <c r="P87">
        <v>519457</v>
      </c>
      <c r="Q87">
        <v>102732</v>
      </c>
      <c r="R87">
        <v>99358.12</v>
      </c>
      <c r="S87">
        <v>271396</v>
      </c>
      <c r="T87">
        <v>0.19800000000000001</v>
      </c>
      <c r="U87">
        <v>1.034</v>
      </c>
      <c r="V87">
        <v>5.2279999999999998</v>
      </c>
      <c r="W87">
        <v>400477</v>
      </c>
      <c r="X87">
        <v>27142</v>
      </c>
      <c r="Y87">
        <v>6.8000000000000005E-2</v>
      </c>
      <c r="Z87">
        <v>12</v>
      </c>
      <c r="AA87" t="s">
        <v>145</v>
      </c>
    </row>
    <row r="88" spans="1:27" x14ac:dyDescent="0.3">
      <c r="A88">
        <v>87</v>
      </c>
      <c r="B88">
        <v>53034</v>
      </c>
      <c r="C88" s="29">
        <v>45275</v>
      </c>
      <c r="D88" t="s">
        <v>222</v>
      </c>
      <c r="E88" t="s">
        <v>77</v>
      </c>
      <c r="F88" t="s">
        <v>78</v>
      </c>
      <c r="G88" t="s">
        <v>79</v>
      </c>
      <c r="H88">
        <v>9</v>
      </c>
      <c r="I88">
        <v>73</v>
      </c>
      <c r="J88">
        <v>8.1</v>
      </c>
      <c r="K88">
        <v>0.33300000000000002</v>
      </c>
      <c r="L88">
        <v>278338</v>
      </c>
      <c r="M88">
        <v>30926</v>
      </c>
      <c r="N88">
        <v>0.52600000000000002</v>
      </c>
      <c r="O88">
        <v>0.111</v>
      </c>
      <c r="P88">
        <v>673402</v>
      </c>
      <c r="Q88">
        <v>146392</v>
      </c>
      <c r="R88">
        <v>305702.78999999998</v>
      </c>
      <c r="S88">
        <v>209836</v>
      </c>
      <c r="T88">
        <v>0.217</v>
      </c>
      <c r="U88">
        <v>0.47899999999999998</v>
      </c>
      <c r="V88">
        <v>2.2029999999999998</v>
      </c>
      <c r="W88">
        <v>703652</v>
      </c>
      <c r="X88">
        <v>165012</v>
      </c>
      <c r="Y88">
        <v>0.23499999999999999</v>
      </c>
      <c r="Z88">
        <v>12</v>
      </c>
      <c r="AA88" t="s">
        <v>145</v>
      </c>
    </row>
    <row r="89" spans="1:27" x14ac:dyDescent="0.3">
      <c r="A89">
        <v>88</v>
      </c>
      <c r="B89">
        <v>53051</v>
      </c>
      <c r="C89" s="29">
        <v>45275</v>
      </c>
      <c r="D89" t="s">
        <v>222</v>
      </c>
      <c r="E89" t="s">
        <v>77</v>
      </c>
      <c r="F89" t="s">
        <v>80</v>
      </c>
      <c r="G89" t="s">
        <v>81</v>
      </c>
      <c r="H89">
        <v>10</v>
      </c>
      <c r="I89">
        <v>97</v>
      </c>
      <c r="J89">
        <v>9.6999999999999993</v>
      </c>
      <c r="K89">
        <v>0.4</v>
      </c>
      <c r="L89">
        <v>161747</v>
      </c>
      <c r="M89">
        <v>16175</v>
      </c>
      <c r="N89">
        <v>0.80700000000000005</v>
      </c>
      <c r="O89">
        <v>0.2</v>
      </c>
      <c r="P89">
        <v>747670</v>
      </c>
      <c r="Q89">
        <v>130609</v>
      </c>
      <c r="R89">
        <v>201447.36</v>
      </c>
      <c r="S89">
        <v>217136</v>
      </c>
      <c r="T89">
        <v>0.17499999999999999</v>
      </c>
      <c r="U89">
        <v>0.64800000000000002</v>
      </c>
      <c r="V89">
        <v>3.7109999999999999</v>
      </c>
      <c r="W89">
        <v>765030</v>
      </c>
      <c r="X89">
        <v>125247</v>
      </c>
      <c r="Y89">
        <v>0.16400000000000001</v>
      </c>
      <c r="Z89">
        <v>12</v>
      </c>
      <c r="AA89" t="s">
        <v>145</v>
      </c>
    </row>
    <row r="90" spans="1:27" x14ac:dyDescent="0.3">
      <c r="A90">
        <v>89</v>
      </c>
      <c r="B90">
        <v>53013</v>
      </c>
      <c r="C90" s="29">
        <v>45277</v>
      </c>
      <c r="D90" t="s">
        <v>222</v>
      </c>
      <c r="E90" t="s">
        <v>82</v>
      </c>
      <c r="F90" t="s">
        <v>89</v>
      </c>
      <c r="G90" t="s">
        <v>81</v>
      </c>
      <c r="H90">
        <v>11</v>
      </c>
      <c r="I90">
        <v>136</v>
      </c>
      <c r="J90">
        <v>12.4</v>
      </c>
      <c r="K90">
        <v>0.182</v>
      </c>
      <c r="L90">
        <v>156560</v>
      </c>
      <c r="M90">
        <v>14233</v>
      </c>
      <c r="N90">
        <v>2.0329999999999999</v>
      </c>
      <c r="O90">
        <v>0.36399999999999999</v>
      </c>
      <c r="P90">
        <v>1425882</v>
      </c>
      <c r="Q90">
        <v>318331</v>
      </c>
      <c r="R90">
        <v>186134</v>
      </c>
      <c r="S90">
        <v>286212</v>
      </c>
      <c r="T90">
        <v>0.223</v>
      </c>
      <c r="U90">
        <v>1.71</v>
      </c>
      <c r="V90">
        <v>7.6609999999999996</v>
      </c>
      <c r="W90">
        <v>1222372</v>
      </c>
      <c r="X90">
        <v>261572</v>
      </c>
      <c r="Y90">
        <v>0.214</v>
      </c>
      <c r="Z90">
        <v>12</v>
      </c>
      <c r="AA90" t="s">
        <v>145</v>
      </c>
    </row>
    <row r="91" spans="1:27" x14ac:dyDescent="0.3">
      <c r="A91">
        <v>90</v>
      </c>
      <c r="B91">
        <v>53035</v>
      </c>
      <c r="C91" s="29">
        <v>45281</v>
      </c>
      <c r="D91" t="s">
        <v>222</v>
      </c>
      <c r="E91" t="s">
        <v>74</v>
      </c>
      <c r="F91" t="s">
        <v>84</v>
      </c>
      <c r="G91" t="s">
        <v>79</v>
      </c>
      <c r="H91">
        <v>7</v>
      </c>
      <c r="I91">
        <v>60</v>
      </c>
      <c r="J91">
        <v>8.6</v>
      </c>
      <c r="K91">
        <v>0</v>
      </c>
      <c r="L91">
        <v>82821</v>
      </c>
      <c r="M91">
        <v>11832</v>
      </c>
      <c r="N91">
        <v>1.8029999999999999</v>
      </c>
      <c r="O91">
        <v>0.14299999999999999</v>
      </c>
      <c r="P91">
        <v>460617</v>
      </c>
      <c r="Q91">
        <v>149308</v>
      </c>
      <c r="R91">
        <v>109032.64</v>
      </c>
      <c r="S91">
        <v>282542</v>
      </c>
      <c r="T91">
        <v>0.32400000000000001</v>
      </c>
      <c r="U91">
        <v>1.369</v>
      </c>
      <c r="V91">
        <v>4.2249999999999996</v>
      </c>
      <c r="W91">
        <v>0</v>
      </c>
      <c r="X91">
        <v>0</v>
      </c>
      <c r="Y91">
        <v>0</v>
      </c>
      <c r="Z91">
        <v>12</v>
      </c>
      <c r="AA91" t="s">
        <v>145</v>
      </c>
    </row>
    <row r="92" spans="1:27" x14ac:dyDescent="0.3">
      <c r="A92">
        <v>91</v>
      </c>
      <c r="B92">
        <v>53141</v>
      </c>
      <c r="C92" s="29">
        <v>45281</v>
      </c>
      <c r="D92" t="s">
        <v>222</v>
      </c>
      <c r="E92" t="s">
        <v>74</v>
      </c>
      <c r="F92" t="s">
        <v>86</v>
      </c>
      <c r="G92" t="s">
        <v>81</v>
      </c>
      <c r="H92">
        <v>10</v>
      </c>
      <c r="I92">
        <v>111</v>
      </c>
      <c r="J92">
        <v>11.1</v>
      </c>
      <c r="K92">
        <v>0.4</v>
      </c>
      <c r="L92">
        <v>112953</v>
      </c>
      <c r="M92">
        <v>11295</v>
      </c>
      <c r="N92">
        <v>0.72699999999999998</v>
      </c>
      <c r="O92">
        <v>0</v>
      </c>
      <c r="P92">
        <v>785786</v>
      </c>
      <c r="Q92">
        <v>82172</v>
      </c>
      <c r="R92">
        <v>142526.5</v>
      </c>
      <c r="S92">
        <v>342616</v>
      </c>
      <c r="T92">
        <v>0.105</v>
      </c>
      <c r="U92">
        <v>0.57699999999999996</v>
      </c>
      <c r="V92">
        <v>5.5129999999999999</v>
      </c>
      <c r="W92">
        <v>978605</v>
      </c>
      <c r="X92">
        <v>78336</v>
      </c>
      <c r="Y92">
        <v>0.08</v>
      </c>
      <c r="Z92">
        <v>12</v>
      </c>
      <c r="AA92" t="s">
        <v>145</v>
      </c>
    </row>
    <row r="93" spans="1:27" x14ac:dyDescent="0.3">
      <c r="A93">
        <v>92</v>
      </c>
      <c r="B93">
        <v>52985</v>
      </c>
      <c r="C93" s="29">
        <v>45282</v>
      </c>
      <c r="D93" t="s">
        <v>222</v>
      </c>
      <c r="E93" t="s">
        <v>77</v>
      </c>
      <c r="F93" t="s">
        <v>85</v>
      </c>
      <c r="G93" t="s">
        <v>76</v>
      </c>
      <c r="H93">
        <v>11</v>
      </c>
      <c r="I93">
        <v>130</v>
      </c>
      <c r="J93">
        <v>11.8</v>
      </c>
      <c r="K93">
        <v>0.36399999999999999</v>
      </c>
      <c r="L93">
        <v>368001</v>
      </c>
      <c r="M93">
        <v>33455</v>
      </c>
      <c r="N93">
        <v>0.48399999999999999</v>
      </c>
      <c r="O93">
        <v>0</v>
      </c>
      <c r="P93">
        <v>1594228</v>
      </c>
      <c r="Q93">
        <v>178113</v>
      </c>
      <c r="R93">
        <v>395076.07</v>
      </c>
      <c r="S93">
        <v>468484</v>
      </c>
      <c r="T93">
        <v>0.112</v>
      </c>
      <c r="U93">
        <v>0.45100000000000001</v>
      </c>
      <c r="V93">
        <v>4.0350000000000001</v>
      </c>
      <c r="W93">
        <v>989808</v>
      </c>
      <c r="X93">
        <v>187585</v>
      </c>
      <c r="Y93">
        <v>0.19</v>
      </c>
      <c r="Z93">
        <v>12</v>
      </c>
      <c r="AA93" t="s">
        <v>145</v>
      </c>
    </row>
    <row r="94" spans="1:27" x14ac:dyDescent="0.3">
      <c r="A94">
        <v>93</v>
      </c>
      <c r="B94">
        <v>53036</v>
      </c>
      <c r="C94" s="29">
        <v>45284</v>
      </c>
      <c r="D94" t="s">
        <v>222</v>
      </c>
      <c r="E94" t="s">
        <v>82</v>
      </c>
      <c r="F94" t="s">
        <v>84</v>
      </c>
      <c r="G94" t="s">
        <v>79</v>
      </c>
      <c r="H94">
        <v>8</v>
      </c>
      <c r="I94">
        <v>61</v>
      </c>
      <c r="J94">
        <v>7.6</v>
      </c>
      <c r="K94">
        <v>0.625</v>
      </c>
      <c r="L94">
        <v>113401</v>
      </c>
      <c r="M94">
        <v>14175</v>
      </c>
      <c r="N94">
        <v>1.18</v>
      </c>
      <c r="O94">
        <v>0.375</v>
      </c>
      <c r="P94">
        <v>687493</v>
      </c>
      <c r="Q94">
        <v>133765</v>
      </c>
      <c r="R94">
        <v>139612.64000000001</v>
      </c>
      <c r="S94">
        <v>171470</v>
      </c>
      <c r="T94">
        <v>0.19500000000000001</v>
      </c>
      <c r="U94">
        <v>0.95799999999999996</v>
      </c>
      <c r="V94">
        <v>4.9240000000000004</v>
      </c>
      <c r="W94">
        <v>758286</v>
      </c>
      <c r="X94">
        <v>171852</v>
      </c>
      <c r="Y94">
        <v>0.22700000000000001</v>
      </c>
      <c r="Z94">
        <v>12</v>
      </c>
      <c r="AA94" t="s">
        <v>145</v>
      </c>
    </row>
    <row r="95" spans="1:27" x14ac:dyDescent="0.3">
      <c r="A95">
        <v>94</v>
      </c>
      <c r="B95">
        <v>53011</v>
      </c>
      <c r="C95" s="29">
        <v>45286</v>
      </c>
      <c r="D95" t="s">
        <v>222</v>
      </c>
      <c r="E95" t="s">
        <v>83</v>
      </c>
      <c r="F95" t="s">
        <v>105</v>
      </c>
      <c r="G95" t="s">
        <v>81</v>
      </c>
      <c r="H95">
        <v>12</v>
      </c>
      <c r="I95">
        <v>110</v>
      </c>
      <c r="J95">
        <v>9.1999999999999993</v>
      </c>
      <c r="K95">
        <v>0.33300000000000002</v>
      </c>
      <c r="L95">
        <v>151968</v>
      </c>
      <c r="M95">
        <v>12664</v>
      </c>
      <c r="N95">
        <v>2.0219999999999998</v>
      </c>
      <c r="O95">
        <v>0.25</v>
      </c>
      <c r="P95">
        <v>1498036</v>
      </c>
      <c r="Q95">
        <v>307330</v>
      </c>
      <c r="R95">
        <v>190750.44</v>
      </c>
      <c r="S95">
        <v>383524</v>
      </c>
      <c r="T95">
        <v>0.20499999999999999</v>
      </c>
      <c r="U95">
        <v>1.611</v>
      </c>
      <c r="V95">
        <v>7.8529999999999998</v>
      </c>
      <c r="W95">
        <v>1021443</v>
      </c>
      <c r="X95">
        <v>146942</v>
      </c>
      <c r="Y95">
        <v>0.14399999999999999</v>
      </c>
      <c r="Z95">
        <v>12</v>
      </c>
      <c r="AA95" t="s">
        <v>145</v>
      </c>
    </row>
    <row r="96" spans="1:27" x14ac:dyDescent="0.3">
      <c r="A96">
        <v>95</v>
      </c>
      <c r="B96">
        <v>52986</v>
      </c>
      <c r="C96" s="29">
        <v>45287</v>
      </c>
      <c r="D96" t="s">
        <v>222</v>
      </c>
      <c r="E96" t="s">
        <v>96</v>
      </c>
      <c r="F96" t="s">
        <v>88</v>
      </c>
      <c r="G96" t="s">
        <v>76</v>
      </c>
      <c r="H96">
        <v>11</v>
      </c>
      <c r="I96">
        <v>135</v>
      </c>
      <c r="J96">
        <v>12.3</v>
      </c>
      <c r="K96">
        <v>0.182</v>
      </c>
      <c r="L96">
        <v>164353</v>
      </c>
      <c r="M96">
        <v>14941</v>
      </c>
      <c r="N96">
        <v>1.899</v>
      </c>
      <c r="O96">
        <v>0.182</v>
      </c>
      <c r="P96">
        <v>1287717</v>
      </c>
      <c r="Q96">
        <v>312094</v>
      </c>
      <c r="R96">
        <v>190091.8</v>
      </c>
      <c r="S96">
        <v>338839</v>
      </c>
      <c r="T96">
        <v>0.24199999999999999</v>
      </c>
      <c r="U96">
        <v>1.6419999999999999</v>
      </c>
      <c r="V96">
        <v>6.774</v>
      </c>
      <c r="W96">
        <v>1179848</v>
      </c>
      <c r="X96">
        <v>178866</v>
      </c>
      <c r="Y96">
        <v>0.152</v>
      </c>
      <c r="Z96">
        <v>12</v>
      </c>
      <c r="AA96" t="s">
        <v>145</v>
      </c>
    </row>
    <row r="97" spans="1:27" x14ac:dyDescent="0.3">
      <c r="A97">
        <v>96</v>
      </c>
      <c r="B97">
        <v>53011</v>
      </c>
      <c r="C97" s="29">
        <v>45288</v>
      </c>
      <c r="D97" t="s">
        <v>222</v>
      </c>
      <c r="E97" t="s">
        <v>74</v>
      </c>
      <c r="F97" t="s">
        <v>105</v>
      </c>
      <c r="G97" t="s">
        <v>81</v>
      </c>
      <c r="H97">
        <v>11</v>
      </c>
      <c r="I97">
        <v>108</v>
      </c>
      <c r="J97">
        <v>9.8000000000000007</v>
      </c>
      <c r="K97">
        <v>0.54500000000000004</v>
      </c>
      <c r="L97">
        <v>140120</v>
      </c>
      <c r="M97">
        <v>12738</v>
      </c>
      <c r="N97">
        <v>1.4219999999999999</v>
      </c>
      <c r="O97">
        <v>0.36399999999999999</v>
      </c>
      <c r="P97">
        <v>1136920</v>
      </c>
      <c r="Q97">
        <v>199308</v>
      </c>
      <c r="R97">
        <v>178802.94</v>
      </c>
      <c r="S97">
        <v>280897</v>
      </c>
      <c r="T97">
        <v>0.17499999999999999</v>
      </c>
      <c r="U97">
        <v>1.115</v>
      </c>
      <c r="V97">
        <v>6.359</v>
      </c>
      <c r="W97">
        <v>757117</v>
      </c>
      <c r="X97">
        <v>170733</v>
      </c>
      <c r="Y97">
        <v>0.22600000000000001</v>
      </c>
      <c r="Z97">
        <v>12</v>
      </c>
      <c r="AA97" t="s">
        <v>145</v>
      </c>
    </row>
    <row r="98" spans="1:27" x14ac:dyDescent="0.3">
      <c r="A98">
        <v>97</v>
      </c>
      <c r="B98">
        <v>53142</v>
      </c>
      <c r="C98" s="29">
        <v>45289</v>
      </c>
      <c r="D98" t="s">
        <v>222</v>
      </c>
      <c r="E98" t="s">
        <v>77</v>
      </c>
      <c r="F98" t="s">
        <v>84</v>
      </c>
      <c r="G98" t="s">
        <v>79</v>
      </c>
      <c r="H98">
        <v>7</v>
      </c>
      <c r="I98">
        <v>58</v>
      </c>
      <c r="J98">
        <v>8.3000000000000007</v>
      </c>
      <c r="K98">
        <v>0.14299999999999999</v>
      </c>
      <c r="L98">
        <v>72476</v>
      </c>
      <c r="M98">
        <v>10354</v>
      </c>
      <c r="N98">
        <v>1.5209999999999999</v>
      </c>
      <c r="O98">
        <v>0.14299999999999999</v>
      </c>
      <c r="P98">
        <v>498847</v>
      </c>
      <c r="Q98">
        <v>110222</v>
      </c>
      <c r="R98">
        <v>98690.14</v>
      </c>
      <c r="S98">
        <v>192890</v>
      </c>
      <c r="T98">
        <v>0.221</v>
      </c>
      <c r="U98">
        <v>1.117</v>
      </c>
      <c r="V98">
        <v>5.0549999999999997</v>
      </c>
      <c r="W98">
        <v>398844</v>
      </c>
      <c r="X98">
        <v>54328</v>
      </c>
      <c r="Y98">
        <v>0.13600000000000001</v>
      </c>
      <c r="Z98">
        <v>12</v>
      </c>
      <c r="AA98" t="s">
        <v>145</v>
      </c>
    </row>
    <row r="99" spans="1:27" x14ac:dyDescent="0.3">
      <c r="A99">
        <v>98</v>
      </c>
      <c r="B99">
        <v>53146</v>
      </c>
      <c r="C99" s="29">
        <v>45289</v>
      </c>
      <c r="D99" t="s">
        <v>222</v>
      </c>
      <c r="E99" t="s">
        <v>77</v>
      </c>
      <c r="F99" t="s">
        <v>94</v>
      </c>
      <c r="G99" t="s">
        <v>81</v>
      </c>
      <c r="H99">
        <v>12</v>
      </c>
      <c r="I99">
        <v>161</v>
      </c>
      <c r="J99">
        <v>13.4</v>
      </c>
      <c r="K99">
        <v>0.41699999999999998</v>
      </c>
      <c r="L99">
        <v>161878</v>
      </c>
      <c r="M99">
        <v>13490</v>
      </c>
      <c r="N99">
        <v>1.6759999999999999</v>
      </c>
      <c r="O99">
        <v>0.33300000000000002</v>
      </c>
      <c r="P99">
        <v>1853625</v>
      </c>
      <c r="Q99">
        <v>271303</v>
      </c>
      <c r="R99">
        <v>199010.01</v>
      </c>
      <c r="S99">
        <v>334218</v>
      </c>
      <c r="T99">
        <v>0.14599999999999999</v>
      </c>
      <c r="U99">
        <v>1.363</v>
      </c>
      <c r="V99">
        <v>9.3140000000000001</v>
      </c>
      <c r="W99">
        <v>1838853</v>
      </c>
      <c r="X99">
        <v>282800</v>
      </c>
      <c r="Y99">
        <v>0.154</v>
      </c>
      <c r="Z99">
        <v>12</v>
      </c>
      <c r="AA99" t="s">
        <v>145</v>
      </c>
    </row>
    <row r="100" spans="1:27" x14ac:dyDescent="0.3">
      <c r="A100">
        <v>99</v>
      </c>
      <c r="B100">
        <v>53012</v>
      </c>
      <c r="C100" s="29">
        <v>45290</v>
      </c>
      <c r="D100" t="s">
        <v>222</v>
      </c>
      <c r="E100" t="s">
        <v>93</v>
      </c>
      <c r="F100" t="s">
        <v>106</v>
      </c>
      <c r="G100" t="s">
        <v>81</v>
      </c>
      <c r="H100">
        <v>10</v>
      </c>
      <c r="I100">
        <v>104</v>
      </c>
      <c r="J100">
        <v>10.4</v>
      </c>
      <c r="K100">
        <v>0.3</v>
      </c>
      <c r="L100">
        <v>136502</v>
      </c>
      <c r="M100">
        <v>13650</v>
      </c>
      <c r="N100">
        <v>1.1879999999999999</v>
      </c>
      <c r="O100">
        <v>0.4</v>
      </c>
      <c r="P100">
        <v>1169248</v>
      </c>
      <c r="Q100">
        <v>162137</v>
      </c>
      <c r="R100">
        <v>160756.5</v>
      </c>
      <c r="S100">
        <v>261978</v>
      </c>
      <c r="T100">
        <v>0.13900000000000001</v>
      </c>
      <c r="U100">
        <v>1.0089999999999999</v>
      </c>
      <c r="V100">
        <v>7.2729999999999997</v>
      </c>
      <c r="W100">
        <v>910615</v>
      </c>
      <c r="X100">
        <v>200300</v>
      </c>
      <c r="Y100">
        <v>0.22</v>
      </c>
      <c r="Z100">
        <v>12</v>
      </c>
      <c r="AA100" t="s">
        <v>145</v>
      </c>
    </row>
    <row r="101" spans="1:27" x14ac:dyDescent="0.3">
      <c r="A101">
        <v>100</v>
      </c>
      <c r="B101">
        <v>52977</v>
      </c>
      <c r="C101" s="29">
        <v>45291</v>
      </c>
      <c r="D101" t="s">
        <v>222</v>
      </c>
      <c r="E101" t="s">
        <v>82</v>
      </c>
      <c r="F101" t="s">
        <v>78</v>
      </c>
      <c r="G101" t="s">
        <v>79</v>
      </c>
      <c r="H101">
        <v>8</v>
      </c>
      <c r="I101">
        <v>69</v>
      </c>
      <c r="J101">
        <v>8.6</v>
      </c>
      <c r="K101">
        <v>0.5</v>
      </c>
      <c r="L101">
        <v>232682</v>
      </c>
      <c r="M101">
        <v>29085</v>
      </c>
      <c r="N101">
        <v>0.61099999999999999</v>
      </c>
      <c r="O101">
        <v>0.125</v>
      </c>
      <c r="P101">
        <v>808562</v>
      </c>
      <c r="Q101">
        <v>142163</v>
      </c>
      <c r="R101">
        <v>259947.79</v>
      </c>
      <c r="S101">
        <v>217978</v>
      </c>
      <c r="T101">
        <v>0.17599999999999999</v>
      </c>
      <c r="U101">
        <v>0.54700000000000004</v>
      </c>
      <c r="V101">
        <v>3.11</v>
      </c>
      <c r="W101">
        <v>970319</v>
      </c>
      <c r="X101">
        <v>288917</v>
      </c>
      <c r="Y101">
        <v>0.29799999999999999</v>
      </c>
      <c r="Z101">
        <v>12</v>
      </c>
      <c r="AA101" t="s">
        <v>145</v>
      </c>
    </row>
    <row r="102" spans="1:27" x14ac:dyDescent="0.3">
      <c r="A102">
        <v>101</v>
      </c>
      <c r="B102">
        <v>53147</v>
      </c>
      <c r="C102" s="29">
        <v>45292</v>
      </c>
      <c r="D102" t="s">
        <v>222</v>
      </c>
      <c r="E102" t="s">
        <v>99</v>
      </c>
      <c r="F102" t="s">
        <v>89</v>
      </c>
      <c r="G102" t="s">
        <v>81</v>
      </c>
      <c r="H102">
        <v>10</v>
      </c>
      <c r="I102">
        <v>103</v>
      </c>
      <c r="J102">
        <v>10.3</v>
      </c>
      <c r="K102">
        <v>0.3</v>
      </c>
      <c r="L102">
        <v>111554</v>
      </c>
      <c r="M102">
        <v>11155</v>
      </c>
      <c r="N102">
        <v>1.3380000000000001</v>
      </c>
      <c r="O102">
        <v>0.2</v>
      </c>
      <c r="P102">
        <v>1007021</v>
      </c>
      <c r="Q102">
        <v>149298</v>
      </c>
      <c r="R102">
        <v>141126.5</v>
      </c>
      <c r="S102">
        <v>183384</v>
      </c>
      <c r="T102">
        <v>0.14799999999999999</v>
      </c>
      <c r="U102">
        <v>1.0580000000000001</v>
      </c>
      <c r="V102">
        <v>7.1360000000000001</v>
      </c>
      <c r="W102">
        <v>1133879</v>
      </c>
      <c r="X102">
        <v>282805</v>
      </c>
      <c r="Y102">
        <v>0.249</v>
      </c>
      <c r="Z102">
        <v>1</v>
      </c>
      <c r="AA102" t="s">
        <v>145</v>
      </c>
    </row>
    <row r="103" spans="1:27" x14ac:dyDescent="0.3">
      <c r="A103">
        <v>102</v>
      </c>
      <c r="B103">
        <v>53045</v>
      </c>
      <c r="C103" s="29">
        <v>45293</v>
      </c>
      <c r="D103" t="s">
        <v>222</v>
      </c>
      <c r="E103" t="s">
        <v>83</v>
      </c>
      <c r="F103" t="s">
        <v>107</v>
      </c>
      <c r="G103" t="s">
        <v>76</v>
      </c>
      <c r="H103">
        <v>11</v>
      </c>
      <c r="I103">
        <v>100</v>
      </c>
      <c r="J103">
        <v>9.1</v>
      </c>
      <c r="K103">
        <v>0.63600000000000001</v>
      </c>
      <c r="L103">
        <v>165044</v>
      </c>
      <c r="M103">
        <v>15004</v>
      </c>
      <c r="N103">
        <v>1.8109999999999999</v>
      </c>
      <c r="O103">
        <v>0</v>
      </c>
      <c r="P103">
        <v>1395772</v>
      </c>
      <c r="Q103">
        <v>298843</v>
      </c>
      <c r="R103">
        <v>222143.8</v>
      </c>
      <c r="S103">
        <v>259743</v>
      </c>
      <c r="T103">
        <v>0.214</v>
      </c>
      <c r="U103">
        <v>1.345</v>
      </c>
      <c r="V103">
        <v>6.2830000000000004</v>
      </c>
      <c r="W103">
        <v>1306622</v>
      </c>
      <c r="X103">
        <v>241171</v>
      </c>
      <c r="Y103">
        <v>0.185</v>
      </c>
      <c r="Z103">
        <v>1</v>
      </c>
      <c r="AA103" t="s">
        <v>145</v>
      </c>
    </row>
    <row r="104" spans="1:27" x14ac:dyDescent="0.3">
      <c r="A104">
        <v>103</v>
      </c>
      <c r="B104">
        <v>53071</v>
      </c>
      <c r="C104" s="29">
        <v>45293</v>
      </c>
      <c r="D104" t="s">
        <v>222</v>
      </c>
      <c r="E104" t="s">
        <v>83</v>
      </c>
      <c r="F104" t="s">
        <v>108</v>
      </c>
      <c r="G104" t="s">
        <v>79</v>
      </c>
      <c r="H104">
        <v>6</v>
      </c>
      <c r="I104">
        <v>69</v>
      </c>
      <c r="J104">
        <v>11.5</v>
      </c>
      <c r="K104">
        <v>0.16700000000000001</v>
      </c>
      <c r="L104">
        <v>76360</v>
      </c>
      <c r="M104">
        <v>12727</v>
      </c>
      <c r="N104">
        <v>0.99399999999999999</v>
      </c>
      <c r="O104">
        <v>0.66700000000000004</v>
      </c>
      <c r="P104">
        <v>429625</v>
      </c>
      <c r="Q104">
        <v>75915</v>
      </c>
      <c r="R104">
        <v>95964.19</v>
      </c>
      <c r="S104">
        <v>92619</v>
      </c>
      <c r="T104">
        <v>0.17699999999999999</v>
      </c>
      <c r="U104">
        <v>0.79100000000000004</v>
      </c>
      <c r="V104">
        <v>4.4770000000000003</v>
      </c>
      <c r="W104">
        <v>308275</v>
      </c>
      <c r="X104">
        <v>81285</v>
      </c>
      <c r="Y104">
        <v>0.26400000000000001</v>
      </c>
      <c r="Z104">
        <v>1</v>
      </c>
      <c r="AA104" t="s">
        <v>145</v>
      </c>
    </row>
    <row r="105" spans="1:27" x14ac:dyDescent="0.3">
      <c r="A105">
        <v>104</v>
      </c>
      <c r="B105">
        <v>53046</v>
      </c>
      <c r="C105" s="29">
        <v>45295</v>
      </c>
      <c r="D105" t="s">
        <v>222</v>
      </c>
      <c r="E105" t="s">
        <v>74</v>
      </c>
      <c r="F105" t="s">
        <v>109</v>
      </c>
      <c r="G105" t="s">
        <v>76</v>
      </c>
      <c r="H105">
        <v>12</v>
      </c>
      <c r="I105">
        <v>115</v>
      </c>
      <c r="J105">
        <v>9.6</v>
      </c>
      <c r="K105">
        <v>0.58299999999999996</v>
      </c>
      <c r="L105">
        <v>165984</v>
      </c>
      <c r="M105">
        <v>13832</v>
      </c>
      <c r="N105">
        <v>0.751</v>
      </c>
      <c r="O105">
        <v>8.3000000000000004E-2</v>
      </c>
      <c r="P105">
        <v>1112994</v>
      </c>
      <c r="Q105">
        <v>124699</v>
      </c>
      <c r="R105">
        <v>188110.7</v>
      </c>
      <c r="S105">
        <v>293911</v>
      </c>
      <c r="T105">
        <v>0.112</v>
      </c>
      <c r="U105">
        <v>0.66300000000000003</v>
      </c>
      <c r="V105">
        <v>5.9169999999999998</v>
      </c>
      <c r="W105">
        <v>928504</v>
      </c>
      <c r="X105">
        <v>140657</v>
      </c>
      <c r="Y105">
        <v>0.151</v>
      </c>
      <c r="Z105">
        <v>1</v>
      </c>
      <c r="AA105" t="s">
        <v>145</v>
      </c>
    </row>
    <row r="106" spans="1:27" x14ac:dyDescent="0.3">
      <c r="A106">
        <v>105</v>
      </c>
      <c r="B106">
        <v>53139</v>
      </c>
      <c r="C106" s="29">
        <v>45295</v>
      </c>
      <c r="D106" t="s">
        <v>222</v>
      </c>
      <c r="E106" t="s">
        <v>74</v>
      </c>
      <c r="F106" t="s">
        <v>110</v>
      </c>
      <c r="G106" t="s">
        <v>79</v>
      </c>
      <c r="H106">
        <v>7</v>
      </c>
      <c r="I106">
        <v>69</v>
      </c>
      <c r="J106">
        <v>9.9</v>
      </c>
      <c r="K106">
        <v>0.57099999999999995</v>
      </c>
      <c r="L106">
        <v>91115</v>
      </c>
      <c r="M106">
        <v>13016</v>
      </c>
      <c r="N106">
        <v>0.41</v>
      </c>
      <c r="O106">
        <v>0.28599999999999998</v>
      </c>
      <c r="P106">
        <v>408504</v>
      </c>
      <c r="Q106">
        <v>37398</v>
      </c>
      <c r="R106">
        <v>98027.94</v>
      </c>
      <c r="S106">
        <v>136856</v>
      </c>
      <c r="T106">
        <v>9.1999999999999998E-2</v>
      </c>
      <c r="U106">
        <v>0.38200000000000001</v>
      </c>
      <c r="V106">
        <v>4.1669999999999998</v>
      </c>
      <c r="W106">
        <v>259636</v>
      </c>
      <c r="X106">
        <v>46571</v>
      </c>
      <c r="Y106">
        <v>0.17899999999999999</v>
      </c>
      <c r="Z106">
        <v>1</v>
      </c>
      <c r="AA106" t="s">
        <v>145</v>
      </c>
    </row>
    <row r="107" spans="1:27" x14ac:dyDescent="0.3">
      <c r="A107">
        <v>106</v>
      </c>
      <c r="B107">
        <v>53047</v>
      </c>
      <c r="C107" s="29">
        <v>45297</v>
      </c>
      <c r="D107" t="s">
        <v>222</v>
      </c>
      <c r="E107" t="s">
        <v>93</v>
      </c>
      <c r="F107" t="s">
        <v>90</v>
      </c>
      <c r="G107" t="s">
        <v>76</v>
      </c>
      <c r="H107">
        <v>12</v>
      </c>
      <c r="I107">
        <v>145</v>
      </c>
      <c r="J107">
        <v>12.1</v>
      </c>
      <c r="K107">
        <v>0.25</v>
      </c>
      <c r="L107">
        <v>156209</v>
      </c>
      <c r="M107">
        <v>13017</v>
      </c>
      <c r="N107">
        <v>1.93</v>
      </c>
      <c r="O107">
        <v>0.33300000000000002</v>
      </c>
      <c r="P107">
        <v>1336768</v>
      </c>
      <c r="Q107">
        <v>301488</v>
      </c>
      <c r="R107">
        <v>191758.18</v>
      </c>
      <c r="S107">
        <v>214389</v>
      </c>
      <c r="T107">
        <v>0.22600000000000001</v>
      </c>
      <c r="U107">
        <v>1.5720000000000001</v>
      </c>
      <c r="V107">
        <v>6.9710000000000001</v>
      </c>
      <c r="W107">
        <v>1458857</v>
      </c>
      <c r="X107">
        <v>234896</v>
      </c>
      <c r="Y107">
        <v>0.161</v>
      </c>
      <c r="Z107">
        <v>1</v>
      </c>
      <c r="AA107" t="s">
        <v>145</v>
      </c>
    </row>
    <row r="108" spans="1:27" x14ac:dyDescent="0.3">
      <c r="A108">
        <v>107</v>
      </c>
      <c r="B108">
        <v>53148</v>
      </c>
      <c r="C108" s="29">
        <v>45298</v>
      </c>
      <c r="D108" t="s">
        <v>222</v>
      </c>
      <c r="E108" t="s">
        <v>82</v>
      </c>
      <c r="F108" t="s">
        <v>94</v>
      </c>
      <c r="G108" t="s">
        <v>81</v>
      </c>
      <c r="H108">
        <v>12</v>
      </c>
      <c r="I108">
        <v>146</v>
      </c>
      <c r="J108">
        <v>12.2</v>
      </c>
      <c r="K108">
        <v>0.16700000000000001</v>
      </c>
      <c r="L108">
        <v>146157</v>
      </c>
      <c r="M108">
        <v>12180</v>
      </c>
      <c r="N108">
        <v>1.988</v>
      </c>
      <c r="O108">
        <v>0.16700000000000001</v>
      </c>
      <c r="P108">
        <v>1447400</v>
      </c>
      <c r="Q108">
        <v>290623</v>
      </c>
      <c r="R108">
        <v>183075.01</v>
      </c>
      <c r="S108">
        <v>288450</v>
      </c>
      <c r="T108">
        <v>0.20100000000000001</v>
      </c>
      <c r="U108">
        <v>1.587</v>
      </c>
      <c r="V108">
        <v>7.9059999999999997</v>
      </c>
      <c r="W108">
        <v>1207568</v>
      </c>
      <c r="X108">
        <v>307177</v>
      </c>
      <c r="Y108">
        <v>0.254</v>
      </c>
      <c r="Z108">
        <v>1</v>
      </c>
      <c r="AA108" t="s">
        <v>145</v>
      </c>
    </row>
    <row r="109" spans="1:27" x14ac:dyDescent="0.3">
      <c r="A109">
        <v>108</v>
      </c>
      <c r="B109">
        <v>53188</v>
      </c>
      <c r="C109" s="29">
        <v>45298</v>
      </c>
      <c r="D109" t="s">
        <v>222</v>
      </c>
      <c r="E109" t="s">
        <v>82</v>
      </c>
      <c r="F109" t="s">
        <v>84</v>
      </c>
      <c r="G109" t="s">
        <v>79</v>
      </c>
      <c r="H109">
        <v>8</v>
      </c>
      <c r="I109">
        <v>61</v>
      </c>
      <c r="J109">
        <v>7.6</v>
      </c>
      <c r="K109">
        <v>0.625</v>
      </c>
      <c r="L109">
        <v>88677</v>
      </c>
      <c r="M109">
        <v>11085</v>
      </c>
      <c r="N109">
        <v>0.5</v>
      </c>
      <c r="O109">
        <v>0.25</v>
      </c>
      <c r="P109">
        <v>433429</v>
      </c>
      <c r="Q109">
        <v>44381</v>
      </c>
      <c r="R109">
        <v>114888.89</v>
      </c>
      <c r="S109">
        <v>120042</v>
      </c>
      <c r="T109">
        <v>0.10199999999999999</v>
      </c>
      <c r="U109">
        <v>0.38600000000000001</v>
      </c>
      <c r="V109">
        <v>3.7730000000000001</v>
      </c>
      <c r="W109">
        <v>411843</v>
      </c>
      <c r="X109">
        <v>96420</v>
      </c>
      <c r="Y109">
        <v>0.23400000000000001</v>
      </c>
      <c r="Z109">
        <v>1</v>
      </c>
      <c r="AA109" t="s">
        <v>145</v>
      </c>
    </row>
    <row r="110" spans="1:27" x14ac:dyDescent="0.3">
      <c r="A110">
        <v>109</v>
      </c>
      <c r="B110">
        <v>53069</v>
      </c>
      <c r="C110" s="29">
        <v>45301</v>
      </c>
      <c r="D110" t="s">
        <v>222</v>
      </c>
      <c r="E110" t="s">
        <v>96</v>
      </c>
      <c r="F110" t="s">
        <v>75</v>
      </c>
      <c r="G110" t="s">
        <v>76</v>
      </c>
      <c r="H110">
        <v>10</v>
      </c>
      <c r="I110">
        <v>115</v>
      </c>
      <c r="J110">
        <v>11.5</v>
      </c>
      <c r="K110">
        <v>0.2</v>
      </c>
      <c r="L110">
        <v>111178</v>
      </c>
      <c r="M110">
        <v>11118</v>
      </c>
      <c r="N110">
        <v>1.7450000000000001</v>
      </c>
      <c r="O110">
        <v>0</v>
      </c>
      <c r="P110">
        <v>923384</v>
      </c>
      <c r="Q110">
        <v>194036</v>
      </c>
      <c r="R110">
        <v>136247.04999999999</v>
      </c>
      <c r="S110">
        <v>282822</v>
      </c>
      <c r="T110">
        <v>0.21</v>
      </c>
      <c r="U110">
        <v>1.4239999999999999</v>
      </c>
      <c r="V110">
        <v>6.7770000000000001</v>
      </c>
      <c r="W110">
        <v>656094</v>
      </c>
      <c r="X110">
        <v>97602</v>
      </c>
      <c r="Y110">
        <v>0.14899999999999999</v>
      </c>
      <c r="Z110">
        <v>1</v>
      </c>
      <c r="AA110" t="s">
        <v>145</v>
      </c>
    </row>
    <row r="111" spans="1:27" x14ac:dyDescent="0.3">
      <c r="A111">
        <v>110</v>
      </c>
      <c r="B111">
        <v>53295</v>
      </c>
      <c r="C111" s="29">
        <v>45302</v>
      </c>
      <c r="D111" t="s">
        <v>222</v>
      </c>
      <c r="E111" t="s">
        <v>74</v>
      </c>
      <c r="F111" t="s">
        <v>84</v>
      </c>
      <c r="G111" t="s">
        <v>79</v>
      </c>
      <c r="H111">
        <v>9</v>
      </c>
      <c r="I111">
        <v>67</v>
      </c>
      <c r="J111">
        <v>7.4</v>
      </c>
      <c r="K111">
        <v>0.33300000000000002</v>
      </c>
      <c r="L111">
        <v>144450</v>
      </c>
      <c r="M111">
        <v>16050</v>
      </c>
      <c r="N111">
        <v>0.38700000000000001</v>
      </c>
      <c r="O111">
        <v>0.44400000000000001</v>
      </c>
      <c r="P111">
        <v>533015</v>
      </c>
      <c r="Q111">
        <v>55948</v>
      </c>
      <c r="R111">
        <v>170662.64</v>
      </c>
      <c r="S111">
        <v>223662</v>
      </c>
      <c r="T111">
        <v>0.105</v>
      </c>
      <c r="U111">
        <v>0.32800000000000001</v>
      </c>
      <c r="V111">
        <v>3.1230000000000002</v>
      </c>
      <c r="W111">
        <v>488752</v>
      </c>
      <c r="X111">
        <v>89110</v>
      </c>
      <c r="Y111">
        <v>0.182</v>
      </c>
      <c r="Z111">
        <v>1</v>
      </c>
      <c r="AA111" t="s">
        <v>145</v>
      </c>
    </row>
    <row r="112" spans="1:27" x14ac:dyDescent="0.3">
      <c r="A112">
        <v>111</v>
      </c>
      <c r="B112">
        <v>53143</v>
      </c>
      <c r="C112" s="29">
        <v>45303</v>
      </c>
      <c r="D112" t="s">
        <v>222</v>
      </c>
      <c r="E112" t="s">
        <v>77</v>
      </c>
      <c r="F112" t="s">
        <v>111</v>
      </c>
      <c r="G112" t="s">
        <v>81</v>
      </c>
      <c r="H112">
        <v>11</v>
      </c>
      <c r="I112">
        <v>125</v>
      </c>
      <c r="J112">
        <v>11.4</v>
      </c>
      <c r="K112">
        <v>0.72699999999999998</v>
      </c>
      <c r="L112">
        <v>153497</v>
      </c>
      <c r="M112">
        <v>13954</v>
      </c>
      <c r="N112">
        <v>6.5000000000000002E-2</v>
      </c>
      <c r="O112">
        <v>0.182</v>
      </c>
      <c r="P112">
        <v>1366736</v>
      </c>
      <c r="Q112">
        <v>9935</v>
      </c>
      <c r="R112">
        <v>190983</v>
      </c>
      <c r="S112">
        <v>336235</v>
      </c>
      <c r="T112">
        <v>7.0000000000000001E-3</v>
      </c>
      <c r="U112">
        <v>5.1999999999999998E-2</v>
      </c>
      <c r="V112">
        <v>7.1559999999999997</v>
      </c>
      <c r="W112">
        <v>1368403</v>
      </c>
      <c r="X112">
        <v>272470</v>
      </c>
      <c r="Y112">
        <v>0.19900000000000001</v>
      </c>
      <c r="Z112">
        <v>1</v>
      </c>
      <c r="AA112" t="s">
        <v>145</v>
      </c>
    </row>
    <row r="113" spans="1:27" x14ac:dyDescent="0.3">
      <c r="A113">
        <v>112</v>
      </c>
      <c r="B113">
        <v>53143</v>
      </c>
      <c r="C113" s="29">
        <v>45305</v>
      </c>
      <c r="D113" t="s">
        <v>222</v>
      </c>
      <c r="E113" t="s">
        <v>82</v>
      </c>
      <c r="F113" t="s">
        <v>111</v>
      </c>
      <c r="G113" t="s">
        <v>81</v>
      </c>
      <c r="H113">
        <v>11</v>
      </c>
      <c r="I113">
        <v>116</v>
      </c>
      <c r="J113">
        <v>10.5</v>
      </c>
      <c r="K113">
        <v>0.27300000000000002</v>
      </c>
      <c r="L113">
        <v>151246</v>
      </c>
      <c r="M113">
        <v>13750</v>
      </c>
      <c r="N113">
        <v>1.8560000000000001</v>
      </c>
      <c r="O113">
        <v>0.182</v>
      </c>
      <c r="P113">
        <v>1286762</v>
      </c>
      <c r="Q113">
        <v>280732</v>
      </c>
      <c r="R113">
        <v>188834.25</v>
      </c>
      <c r="S113">
        <v>261360</v>
      </c>
      <c r="T113">
        <v>0.218</v>
      </c>
      <c r="U113">
        <v>1.4870000000000001</v>
      </c>
      <c r="V113">
        <v>6.8140000000000001</v>
      </c>
      <c r="W113">
        <v>1422559</v>
      </c>
      <c r="X113">
        <v>217356</v>
      </c>
      <c r="Y113">
        <v>0.153</v>
      </c>
      <c r="Z113">
        <v>1</v>
      </c>
      <c r="AA113" t="s">
        <v>145</v>
      </c>
    </row>
    <row r="114" spans="1:27" x14ac:dyDescent="0.3">
      <c r="A114">
        <v>113</v>
      </c>
      <c r="B114">
        <v>53168</v>
      </c>
      <c r="C114" s="29">
        <v>45307</v>
      </c>
      <c r="D114" t="s">
        <v>222</v>
      </c>
      <c r="E114" t="s">
        <v>83</v>
      </c>
      <c r="F114" t="s">
        <v>86</v>
      </c>
      <c r="G114" t="s">
        <v>81</v>
      </c>
      <c r="H114">
        <v>11</v>
      </c>
      <c r="I114">
        <v>114</v>
      </c>
      <c r="J114">
        <v>10.4</v>
      </c>
      <c r="K114">
        <v>0.36399999999999999</v>
      </c>
      <c r="L114">
        <v>113604</v>
      </c>
      <c r="M114">
        <v>10328</v>
      </c>
      <c r="N114">
        <v>1.5069999999999999</v>
      </c>
      <c r="O114">
        <v>0.27300000000000002</v>
      </c>
      <c r="P114">
        <v>809941</v>
      </c>
      <c r="Q114">
        <v>171194</v>
      </c>
      <c r="R114">
        <v>143179</v>
      </c>
      <c r="S114">
        <v>296699</v>
      </c>
      <c r="T114">
        <v>0.21099999999999999</v>
      </c>
      <c r="U114">
        <v>1.196</v>
      </c>
      <c r="V114">
        <v>5.657</v>
      </c>
      <c r="W114">
        <v>829299</v>
      </c>
      <c r="X114">
        <v>108222</v>
      </c>
      <c r="Y114">
        <v>0.13</v>
      </c>
      <c r="Z114">
        <v>1</v>
      </c>
      <c r="AA114" t="s">
        <v>145</v>
      </c>
    </row>
    <row r="115" spans="1:27" x14ac:dyDescent="0.3">
      <c r="A115">
        <v>114</v>
      </c>
      <c r="B115">
        <v>53070</v>
      </c>
      <c r="C115" s="29">
        <v>45309</v>
      </c>
      <c r="D115" t="s">
        <v>222</v>
      </c>
      <c r="E115" t="s">
        <v>74</v>
      </c>
      <c r="F115" t="s">
        <v>97</v>
      </c>
      <c r="G115" t="s">
        <v>76</v>
      </c>
      <c r="H115">
        <v>11</v>
      </c>
      <c r="I115">
        <v>121</v>
      </c>
      <c r="J115">
        <v>11</v>
      </c>
      <c r="K115">
        <v>0.27300000000000002</v>
      </c>
      <c r="L115">
        <v>185947</v>
      </c>
      <c r="M115">
        <v>16904</v>
      </c>
      <c r="N115">
        <v>1.0109999999999999</v>
      </c>
      <c r="O115">
        <v>9.0999999999999998E-2</v>
      </c>
      <c r="P115">
        <v>904288</v>
      </c>
      <c r="Q115">
        <v>188041</v>
      </c>
      <c r="R115">
        <v>200565.8</v>
      </c>
      <c r="S115">
        <v>387413</v>
      </c>
      <c r="T115">
        <v>0.20799999999999999</v>
      </c>
      <c r="U115">
        <v>0.93799999999999994</v>
      </c>
      <c r="V115">
        <v>4.5090000000000003</v>
      </c>
      <c r="W115">
        <v>757357</v>
      </c>
      <c r="X115">
        <v>97837</v>
      </c>
      <c r="Y115">
        <v>0.129</v>
      </c>
      <c r="Z115">
        <v>1</v>
      </c>
      <c r="AA115" t="s">
        <v>145</v>
      </c>
    </row>
    <row r="116" spans="1:27" x14ac:dyDescent="0.3">
      <c r="A116">
        <v>115</v>
      </c>
      <c r="B116">
        <v>53149</v>
      </c>
      <c r="C116" s="29">
        <v>45310</v>
      </c>
      <c r="D116" t="s">
        <v>222</v>
      </c>
      <c r="E116" t="s">
        <v>77</v>
      </c>
      <c r="F116" t="s">
        <v>112</v>
      </c>
      <c r="G116" t="s">
        <v>81</v>
      </c>
      <c r="H116">
        <v>12</v>
      </c>
      <c r="I116">
        <v>142</v>
      </c>
      <c r="J116">
        <v>11.8</v>
      </c>
      <c r="K116">
        <v>0.16700000000000001</v>
      </c>
      <c r="L116">
        <v>158747</v>
      </c>
      <c r="M116">
        <v>12771</v>
      </c>
      <c r="N116">
        <v>1.8069999999999999</v>
      </c>
      <c r="O116">
        <v>0.33300000000000002</v>
      </c>
      <c r="P116">
        <v>1287056</v>
      </c>
      <c r="Q116">
        <v>286835</v>
      </c>
      <c r="R116">
        <v>191147.1</v>
      </c>
      <c r="S116">
        <v>417598</v>
      </c>
      <c r="T116">
        <v>0.223</v>
      </c>
      <c r="U116">
        <v>1.5009999999999999</v>
      </c>
      <c r="V116">
        <v>6.7329999999999997</v>
      </c>
      <c r="W116">
        <v>1274274</v>
      </c>
      <c r="X116">
        <v>287565</v>
      </c>
      <c r="Y116">
        <v>0.22600000000000001</v>
      </c>
      <c r="Z116">
        <v>1</v>
      </c>
      <c r="AA116" t="s">
        <v>145</v>
      </c>
    </row>
    <row r="117" spans="1:27" x14ac:dyDescent="0.3">
      <c r="A117">
        <v>116</v>
      </c>
      <c r="B117">
        <v>53297</v>
      </c>
      <c r="C117" s="29">
        <v>45310</v>
      </c>
      <c r="D117" t="s">
        <v>222</v>
      </c>
      <c r="E117" t="s">
        <v>77</v>
      </c>
      <c r="F117" t="s">
        <v>84</v>
      </c>
      <c r="G117" t="s">
        <v>79</v>
      </c>
      <c r="H117">
        <v>11</v>
      </c>
      <c r="I117">
        <v>103</v>
      </c>
      <c r="J117">
        <v>9.4</v>
      </c>
      <c r="K117">
        <v>0.36399999999999999</v>
      </c>
      <c r="L117">
        <v>133859</v>
      </c>
      <c r="M117">
        <v>12169</v>
      </c>
      <c r="N117">
        <v>0.71</v>
      </c>
      <c r="O117">
        <v>0.182</v>
      </c>
      <c r="P117">
        <v>679953</v>
      </c>
      <c r="Q117">
        <v>95048</v>
      </c>
      <c r="R117">
        <v>160071.39000000001</v>
      </c>
      <c r="S117">
        <v>300674</v>
      </c>
      <c r="T117">
        <v>0.14000000000000001</v>
      </c>
      <c r="U117">
        <v>0.59399999999999997</v>
      </c>
      <c r="V117">
        <v>4.2480000000000002</v>
      </c>
      <c r="W117">
        <v>416862</v>
      </c>
      <c r="X117">
        <v>89000</v>
      </c>
      <c r="Y117">
        <v>0.21299999999999999</v>
      </c>
      <c r="Z117">
        <v>1</v>
      </c>
      <c r="AA117" t="s">
        <v>145</v>
      </c>
    </row>
    <row r="118" spans="1:27" x14ac:dyDescent="0.3">
      <c r="A118">
        <v>117</v>
      </c>
      <c r="B118">
        <v>53149</v>
      </c>
      <c r="C118" s="29">
        <v>45312</v>
      </c>
      <c r="D118" t="s">
        <v>222</v>
      </c>
      <c r="E118" t="s">
        <v>82</v>
      </c>
      <c r="F118" t="s">
        <v>112</v>
      </c>
      <c r="G118" t="s">
        <v>81</v>
      </c>
      <c r="H118">
        <v>12</v>
      </c>
      <c r="I118">
        <v>141</v>
      </c>
      <c r="J118">
        <v>11.8</v>
      </c>
      <c r="K118">
        <v>0.33300000000000002</v>
      </c>
      <c r="L118">
        <v>171177</v>
      </c>
      <c r="M118">
        <v>13806</v>
      </c>
      <c r="N118">
        <v>1.365</v>
      </c>
      <c r="O118">
        <v>0</v>
      </c>
      <c r="P118">
        <v>1260277</v>
      </c>
      <c r="Q118">
        <v>233594</v>
      </c>
      <c r="R118">
        <v>203677.1</v>
      </c>
      <c r="S118">
        <v>216452</v>
      </c>
      <c r="T118">
        <v>0.185</v>
      </c>
      <c r="U118">
        <v>1.147</v>
      </c>
      <c r="V118">
        <v>6.1879999999999997</v>
      </c>
      <c r="W118">
        <v>1448833</v>
      </c>
      <c r="X118">
        <v>377019</v>
      </c>
      <c r="Y118">
        <v>0.26</v>
      </c>
      <c r="Z118">
        <v>1</v>
      </c>
      <c r="AA118" t="s">
        <v>145</v>
      </c>
    </row>
    <row r="119" spans="1:27" x14ac:dyDescent="0.3">
      <c r="A119">
        <v>118</v>
      </c>
      <c r="B119">
        <v>53072</v>
      </c>
      <c r="C119" s="29">
        <v>45315</v>
      </c>
      <c r="D119" t="s">
        <v>222</v>
      </c>
      <c r="E119" t="s">
        <v>96</v>
      </c>
      <c r="F119" t="s">
        <v>104</v>
      </c>
      <c r="G119" t="s">
        <v>76</v>
      </c>
      <c r="H119">
        <v>7</v>
      </c>
      <c r="I119">
        <v>57</v>
      </c>
      <c r="J119">
        <v>8.1</v>
      </c>
      <c r="K119">
        <v>0.57099999999999995</v>
      </c>
      <c r="L119">
        <v>75505</v>
      </c>
      <c r="M119">
        <v>10786</v>
      </c>
      <c r="N119">
        <v>0.68100000000000005</v>
      </c>
      <c r="O119">
        <v>0.14299999999999999</v>
      </c>
      <c r="P119">
        <v>464064</v>
      </c>
      <c r="Q119">
        <v>51410</v>
      </c>
      <c r="R119">
        <v>92523.3</v>
      </c>
      <c r="S119">
        <v>164895</v>
      </c>
      <c r="T119">
        <v>0.111</v>
      </c>
      <c r="U119">
        <v>0.55600000000000005</v>
      </c>
      <c r="V119">
        <v>5.016</v>
      </c>
      <c r="W119">
        <v>410957</v>
      </c>
      <c r="X119">
        <v>1851</v>
      </c>
      <c r="Y119">
        <v>5.0000000000000001E-3</v>
      </c>
      <c r="Z119">
        <v>1</v>
      </c>
      <c r="AA119" t="s">
        <v>145</v>
      </c>
    </row>
    <row r="120" spans="1:27" x14ac:dyDescent="0.3">
      <c r="A120">
        <v>119</v>
      </c>
      <c r="B120">
        <v>53167</v>
      </c>
      <c r="C120" s="29">
        <v>45317</v>
      </c>
      <c r="D120" t="s">
        <v>222</v>
      </c>
      <c r="E120" t="s">
        <v>77</v>
      </c>
      <c r="F120" t="s">
        <v>80</v>
      </c>
      <c r="G120" t="s">
        <v>81</v>
      </c>
      <c r="H120">
        <v>10</v>
      </c>
      <c r="I120">
        <v>100</v>
      </c>
      <c r="J120">
        <v>10</v>
      </c>
      <c r="K120">
        <v>0.4</v>
      </c>
      <c r="L120">
        <v>201827</v>
      </c>
      <c r="M120">
        <v>20183</v>
      </c>
      <c r="N120">
        <v>0.76100000000000001</v>
      </c>
      <c r="O120">
        <v>0</v>
      </c>
      <c r="P120">
        <v>834694</v>
      </c>
      <c r="Q120">
        <v>153590</v>
      </c>
      <c r="R120">
        <v>240614.86</v>
      </c>
      <c r="S120">
        <v>262380</v>
      </c>
      <c r="T120">
        <v>0.184</v>
      </c>
      <c r="U120">
        <v>0.63800000000000001</v>
      </c>
      <c r="V120">
        <v>3.4689999999999999</v>
      </c>
      <c r="W120">
        <v>1058166</v>
      </c>
      <c r="X120">
        <v>278689</v>
      </c>
      <c r="Y120">
        <v>0.26300000000000001</v>
      </c>
      <c r="Z120">
        <v>1</v>
      </c>
      <c r="AA120" t="s">
        <v>145</v>
      </c>
    </row>
    <row r="121" spans="1:27" x14ac:dyDescent="0.3">
      <c r="A121">
        <v>120</v>
      </c>
      <c r="B121">
        <v>53298</v>
      </c>
      <c r="C121" s="29">
        <v>45317</v>
      </c>
      <c r="D121" t="s">
        <v>222</v>
      </c>
      <c r="E121" t="s">
        <v>77</v>
      </c>
      <c r="F121" t="s">
        <v>78</v>
      </c>
      <c r="G121" t="s">
        <v>79</v>
      </c>
      <c r="H121">
        <v>10</v>
      </c>
      <c r="I121">
        <v>68</v>
      </c>
      <c r="J121">
        <v>6.8</v>
      </c>
      <c r="K121">
        <v>0.6</v>
      </c>
      <c r="L121">
        <v>144388</v>
      </c>
      <c r="M121">
        <v>14439</v>
      </c>
      <c r="N121">
        <v>0.47099999999999997</v>
      </c>
      <c r="O121">
        <v>0</v>
      </c>
      <c r="P121">
        <v>588361</v>
      </c>
      <c r="Q121">
        <v>67981</v>
      </c>
      <c r="R121">
        <v>171652.79</v>
      </c>
      <c r="S121">
        <v>193438</v>
      </c>
      <c r="T121">
        <v>0.11600000000000001</v>
      </c>
      <c r="U121">
        <v>0.39600000000000002</v>
      </c>
      <c r="V121">
        <v>3.4279999999999999</v>
      </c>
      <c r="W121">
        <v>310924</v>
      </c>
      <c r="X121">
        <v>35597</v>
      </c>
      <c r="Y121">
        <v>0.114</v>
      </c>
      <c r="Z121">
        <v>1</v>
      </c>
      <c r="AA121" t="s">
        <v>145</v>
      </c>
    </row>
    <row r="122" spans="1:27" x14ac:dyDescent="0.3">
      <c r="A122">
        <v>121</v>
      </c>
      <c r="B122">
        <v>53073</v>
      </c>
      <c r="C122" s="29">
        <v>45319</v>
      </c>
      <c r="D122" t="s">
        <v>222</v>
      </c>
      <c r="E122" t="s">
        <v>82</v>
      </c>
      <c r="F122" t="s">
        <v>113</v>
      </c>
      <c r="G122" t="s">
        <v>76</v>
      </c>
      <c r="H122">
        <v>10</v>
      </c>
      <c r="I122">
        <v>107</v>
      </c>
      <c r="J122">
        <v>10.7</v>
      </c>
      <c r="K122">
        <v>0.5</v>
      </c>
      <c r="L122">
        <v>132290</v>
      </c>
      <c r="M122">
        <v>13229</v>
      </c>
      <c r="N122">
        <v>1.06</v>
      </c>
      <c r="O122">
        <v>0</v>
      </c>
      <c r="P122">
        <v>782136</v>
      </c>
      <c r="Q122">
        <v>140275</v>
      </c>
      <c r="R122">
        <v>149308.29999999999</v>
      </c>
      <c r="S122">
        <v>158940</v>
      </c>
      <c r="T122">
        <v>0.17899999999999999</v>
      </c>
      <c r="U122">
        <v>0.93899999999999995</v>
      </c>
      <c r="V122">
        <v>5.2380000000000004</v>
      </c>
      <c r="W122">
        <v>572255</v>
      </c>
      <c r="X122">
        <v>91254</v>
      </c>
      <c r="Y122">
        <v>0.159</v>
      </c>
      <c r="Z122">
        <v>1</v>
      </c>
      <c r="AA122" t="s">
        <v>145</v>
      </c>
    </row>
    <row r="123" spans="1:27" x14ac:dyDescent="0.3">
      <c r="A123">
        <v>122</v>
      </c>
      <c r="B123">
        <v>53335</v>
      </c>
      <c r="C123" s="29">
        <v>45319</v>
      </c>
      <c r="D123" t="s">
        <v>222</v>
      </c>
      <c r="E123" t="s">
        <v>82</v>
      </c>
      <c r="F123" t="s">
        <v>91</v>
      </c>
      <c r="G123" t="s">
        <v>81</v>
      </c>
      <c r="H123">
        <v>11</v>
      </c>
      <c r="I123">
        <v>133</v>
      </c>
      <c r="J123">
        <v>12.1</v>
      </c>
      <c r="K123">
        <v>0.27300000000000002</v>
      </c>
      <c r="L123">
        <v>126105</v>
      </c>
      <c r="M123">
        <v>11464</v>
      </c>
      <c r="N123">
        <v>1.4930000000000001</v>
      </c>
      <c r="O123">
        <v>0.182</v>
      </c>
      <c r="P123">
        <v>1133922</v>
      </c>
      <c r="Q123">
        <v>188283</v>
      </c>
      <c r="R123">
        <v>153382.32999999999</v>
      </c>
      <c r="S123">
        <v>240431</v>
      </c>
      <c r="T123">
        <v>0.16600000000000001</v>
      </c>
      <c r="U123">
        <v>1.228</v>
      </c>
      <c r="V123">
        <v>7.3929999999999998</v>
      </c>
      <c r="W123">
        <v>1180793</v>
      </c>
      <c r="X123">
        <v>239085</v>
      </c>
      <c r="Y123">
        <v>0.20200000000000001</v>
      </c>
      <c r="Z123">
        <v>1</v>
      </c>
      <c r="AA123" t="s">
        <v>145</v>
      </c>
    </row>
    <row r="124" spans="1:27" x14ac:dyDescent="0.3">
      <c r="A124">
        <v>123</v>
      </c>
      <c r="B124">
        <v>53299</v>
      </c>
      <c r="C124" s="29">
        <v>45320</v>
      </c>
      <c r="D124" t="s">
        <v>222</v>
      </c>
      <c r="E124" t="s">
        <v>99</v>
      </c>
      <c r="F124" t="s">
        <v>84</v>
      </c>
      <c r="G124" t="s">
        <v>79</v>
      </c>
      <c r="H124">
        <v>8</v>
      </c>
      <c r="I124">
        <v>73</v>
      </c>
      <c r="J124">
        <v>9.1</v>
      </c>
      <c r="K124">
        <v>0.5</v>
      </c>
      <c r="L124">
        <v>126976</v>
      </c>
      <c r="M124">
        <v>15872</v>
      </c>
      <c r="N124">
        <v>0.997</v>
      </c>
      <c r="O124">
        <v>0.125</v>
      </c>
      <c r="P124">
        <v>556680</v>
      </c>
      <c r="Q124">
        <v>126645</v>
      </c>
      <c r="R124">
        <v>153188.89000000001</v>
      </c>
      <c r="S124">
        <v>174167</v>
      </c>
      <c r="T124">
        <v>0.22800000000000001</v>
      </c>
      <c r="U124">
        <v>0.82699999999999996</v>
      </c>
      <c r="V124">
        <v>3.6339999999999999</v>
      </c>
      <c r="W124">
        <v>414931</v>
      </c>
      <c r="X124">
        <v>56297</v>
      </c>
      <c r="Y124">
        <v>0.13600000000000001</v>
      </c>
      <c r="Z124">
        <v>1</v>
      </c>
      <c r="AA124" t="s">
        <v>145</v>
      </c>
    </row>
    <row r="125" spans="1:27" x14ac:dyDescent="0.3">
      <c r="A125">
        <v>124</v>
      </c>
      <c r="B125">
        <v>53074</v>
      </c>
      <c r="C125" s="29">
        <v>45323</v>
      </c>
      <c r="D125" t="s">
        <v>222</v>
      </c>
      <c r="E125" t="s">
        <v>74</v>
      </c>
      <c r="F125" t="s">
        <v>85</v>
      </c>
      <c r="G125" t="s">
        <v>76</v>
      </c>
      <c r="H125">
        <v>8</v>
      </c>
      <c r="I125">
        <v>71</v>
      </c>
      <c r="J125">
        <v>8.9</v>
      </c>
      <c r="K125">
        <v>0.375</v>
      </c>
      <c r="L125">
        <v>96927</v>
      </c>
      <c r="M125">
        <v>11803</v>
      </c>
      <c r="N125">
        <v>1.0229999999999999</v>
      </c>
      <c r="O125">
        <v>0</v>
      </c>
      <c r="P125">
        <v>661811</v>
      </c>
      <c r="Q125">
        <v>99109</v>
      </c>
      <c r="R125">
        <v>121503.57</v>
      </c>
      <c r="S125">
        <v>276042</v>
      </c>
      <c r="T125">
        <v>0.15</v>
      </c>
      <c r="U125">
        <v>0.81599999999999995</v>
      </c>
      <c r="V125">
        <v>5.4470000000000001</v>
      </c>
      <c r="W125">
        <v>0</v>
      </c>
      <c r="X125">
        <v>0</v>
      </c>
      <c r="Y125">
        <v>0</v>
      </c>
      <c r="Z125">
        <v>2</v>
      </c>
      <c r="AA125" t="s">
        <v>146</v>
      </c>
    </row>
    <row r="126" spans="1:27" x14ac:dyDescent="0.3">
      <c r="A126">
        <v>125</v>
      </c>
      <c r="B126">
        <v>53304</v>
      </c>
      <c r="C126" s="29">
        <v>45324</v>
      </c>
      <c r="D126" t="s">
        <v>222</v>
      </c>
      <c r="E126" t="s">
        <v>77</v>
      </c>
      <c r="F126" t="s">
        <v>114</v>
      </c>
      <c r="G126" t="s">
        <v>79</v>
      </c>
      <c r="H126">
        <v>11</v>
      </c>
      <c r="I126">
        <v>111</v>
      </c>
      <c r="J126">
        <v>10.1</v>
      </c>
      <c r="K126">
        <v>0.45500000000000002</v>
      </c>
      <c r="L126">
        <v>139126</v>
      </c>
      <c r="M126">
        <v>12648</v>
      </c>
      <c r="N126">
        <v>0.56299999999999994</v>
      </c>
      <c r="O126">
        <v>0.182</v>
      </c>
      <c r="P126">
        <v>707430</v>
      </c>
      <c r="Q126">
        <v>78285</v>
      </c>
      <c r="R126">
        <v>154319.4</v>
      </c>
      <c r="S126">
        <v>185906</v>
      </c>
      <c r="T126">
        <v>0.111</v>
      </c>
      <c r="U126">
        <v>0.50700000000000001</v>
      </c>
      <c r="V126">
        <v>4.5839999999999996</v>
      </c>
      <c r="W126">
        <v>448954</v>
      </c>
      <c r="X126">
        <v>96848</v>
      </c>
      <c r="Y126">
        <v>0.216</v>
      </c>
      <c r="Z126">
        <v>2</v>
      </c>
      <c r="AA126" t="s">
        <v>146</v>
      </c>
    </row>
    <row r="127" spans="1:27" x14ac:dyDescent="0.3">
      <c r="A127">
        <v>126</v>
      </c>
      <c r="B127">
        <v>53336</v>
      </c>
      <c r="C127" s="29">
        <v>45324</v>
      </c>
      <c r="D127" t="s">
        <v>222</v>
      </c>
      <c r="E127" t="s">
        <v>77</v>
      </c>
      <c r="F127" t="s">
        <v>80</v>
      </c>
      <c r="G127" t="s">
        <v>81</v>
      </c>
      <c r="H127">
        <v>9</v>
      </c>
      <c r="I127">
        <v>85</v>
      </c>
      <c r="J127">
        <v>9.4</v>
      </c>
      <c r="K127">
        <v>0.33300000000000002</v>
      </c>
      <c r="L127">
        <v>146578</v>
      </c>
      <c r="M127">
        <v>16286</v>
      </c>
      <c r="N127">
        <v>1.546</v>
      </c>
      <c r="O127">
        <v>0.222</v>
      </c>
      <c r="P127">
        <v>908437</v>
      </c>
      <c r="Q127">
        <v>226670</v>
      </c>
      <c r="R127">
        <v>185267.36</v>
      </c>
      <c r="S127">
        <v>290243</v>
      </c>
      <c r="T127">
        <v>0.25</v>
      </c>
      <c r="U127">
        <v>1.2230000000000001</v>
      </c>
      <c r="V127">
        <v>4.9029999999999996</v>
      </c>
      <c r="W127">
        <v>790388</v>
      </c>
      <c r="X127">
        <v>102281</v>
      </c>
      <c r="Y127">
        <v>0.129</v>
      </c>
      <c r="Z127">
        <v>2</v>
      </c>
      <c r="AA127" t="s">
        <v>146</v>
      </c>
    </row>
    <row r="128" spans="1:27" x14ac:dyDescent="0.3">
      <c r="A128">
        <v>127</v>
      </c>
      <c r="B128">
        <v>53122</v>
      </c>
      <c r="C128" s="29">
        <v>45326</v>
      </c>
      <c r="D128" t="s">
        <v>222</v>
      </c>
      <c r="E128" t="s">
        <v>82</v>
      </c>
      <c r="F128" t="s">
        <v>115</v>
      </c>
      <c r="G128" t="s">
        <v>76</v>
      </c>
      <c r="H128">
        <v>12</v>
      </c>
      <c r="I128">
        <v>111</v>
      </c>
      <c r="J128">
        <v>9.1999999999999993</v>
      </c>
      <c r="K128">
        <v>0.33300000000000002</v>
      </c>
      <c r="L128">
        <v>147676</v>
      </c>
      <c r="M128">
        <v>12265</v>
      </c>
      <c r="N128">
        <v>1.343</v>
      </c>
      <c r="O128">
        <v>0</v>
      </c>
      <c r="P128">
        <v>1013255</v>
      </c>
      <c r="Q128">
        <v>198398</v>
      </c>
      <c r="R128">
        <v>164195.79999999999</v>
      </c>
      <c r="S128">
        <v>281827</v>
      </c>
      <c r="T128">
        <v>0.19600000000000001</v>
      </c>
      <c r="U128">
        <v>1.208</v>
      </c>
      <c r="V128">
        <v>6.1710000000000003</v>
      </c>
      <c r="W128">
        <v>792185</v>
      </c>
      <c r="X128">
        <v>172731</v>
      </c>
      <c r="Y128">
        <v>0.218</v>
      </c>
      <c r="Z128">
        <v>2</v>
      </c>
      <c r="AA128" t="s">
        <v>146</v>
      </c>
    </row>
    <row r="129" spans="1:27" x14ac:dyDescent="0.3">
      <c r="A129">
        <v>128</v>
      </c>
      <c r="B129">
        <v>53304</v>
      </c>
      <c r="C129" s="29">
        <v>45326</v>
      </c>
      <c r="D129" t="s">
        <v>222</v>
      </c>
      <c r="E129" t="s">
        <v>82</v>
      </c>
      <c r="F129" t="s">
        <v>114</v>
      </c>
      <c r="G129" t="s">
        <v>79</v>
      </c>
      <c r="H129">
        <v>10</v>
      </c>
      <c r="I129">
        <v>113</v>
      </c>
      <c r="J129">
        <v>11.3</v>
      </c>
      <c r="K129">
        <v>0.3</v>
      </c>
      <c r="L129">
        <v>131592</v>
      </c>
      <c r="M129">
        <v>13059</v>
      </c>
      <c r="N129">
        <v>0.65700000000000003</v>
      </c>
      <c r="O129">
        <v>0.3</v>
      </c>
      <c r="P129">
        <v>744565</v>
      </c>
      <c r="Q129">
        <v>86424</v>
      </c>
      <c r="R129">
        <v>145785.65</v>
      </c>
      <c r="S129">
        <v>188293</v>
      </c>
      <c r="T129">
        <v>0.11600000000000001</v>
      </c>
      <c r="U129">
        <v>0.59299999999999997</v>
      </c>
      <c r="V129">
        <v>5.1070000000000002</v>
      </c>
      <c r="W129">
        <v>464623</v>
      </c>
      <c r="X129">
        <v>61503</v>
      </c>
      <c r="Y129">
        <v>0.13200000000000001</v>
      </c>
      <c r="Z129">
        <v>2</v>
      </c>
      <c r="AA129" t="s">
        <v>146</v>
      </c>
    </row>
    <row r="130" spans="1:27" x14ac:dyDescent="0.3">
      <c r="A130">
        <v>129</v>
      </c>
      <c r="B130">
        <v>53300</v>
      </c>
      <c r="C130" s="29">
        <v>45328</v>
      </c>
      <c r="D130" t="s">
        <v>222</v>
      </c>
      <c r="E130" t="s">
        <v>83</v>
      </c>
      <c r="F130" t="s">
        <v>116</v>
      </c>
      <c r="G130" t="s">
        <v>81</v>
      </c>
      <c r="H130">
        <v>12</v>
      </c>
      <c r="I130">
        <v>137</v>
      </c>
      <c r="J130">
        <v>11.4</v>
      </c>
      <c r="K130">
        <v>0.33300000000000002</v>
      </c>
      <c r="L130">
        <v>161513</v>
      </c>
      <c r="M130">
        <v>13397</v>
      </c>
      <c r="N130">
        <v>1.355</v>
      </c>
      <c r="O130">
        <v>8.3000000000000004E-2</v>
      </c>
      <c r="P130">
        <v>1257390</v>
      </c>
      <c r="Q130">
        <v>218860</v>
      </c>
      <c r="R130">
        <v>183081.4</v>
      </c>
      <c r="S130">
        <v>299175</v>
      </c>
      <c r="T130">
        <v>0.17399999999999999</v>
      </c>
      <c r="U130">
        <v>1.1950000000000001</v>
      </c>
      <c r="V130">
        <v>6.8680000000000003</v>
      </c>
      <c r="W130">
        <v>1063090</v>
      </c>
      <c r="X130">
        <v>249787</v>
      </c>
      <c r="Y130">
        <v>0.23499999999999999</v>
      </c>
      <c r="Z130">
        <v>2</v>
      </c>
      <c r="AA130" t="s">
        <v>146</v>
      </c>
    </row>
    <row r="131" spans="1:27" x14ac:dyDescent="0.3">
      <c r="A131">
        <v>130</v>
      </c>
      <c r="B131">
        <v>53325</v>
      </c>
      <c r="C131" s="29">
        <v>45331</v>
      </c>
      <c r="D131" t="s">
        <v>222</v>
      </c>
      <c r="E131" t="s">
        <v>77</v>
      </c>
      <c r="F131" t="s">
        <v>78</v>
      </c>
      <c r="G131" t="s">
        <v>79</v>
      </c>
      <c r="H131">
        <v>10</v>
      </c>
      <c r="I131">
        <v>81</v>
      </c>
      <c r="J131">
        <v>8.1</v>
      </c>
      <c r="K131">
        <v>0.3</v>
      </c>
      <c r="L131">
        <v>156187</v>
      </c>
      <c r="M131">
        <v>15619</v>
      </c>
      <c r="N131">
        <v>0.51600000000000001</v>
      </c>
      <c r="O131">
        <v>0</v>
      </c>
      <c r="P131">
        <v>668215</v>
      </c>
      <c r="Q131">
        <v>80590</v>
      </c>
      <c r="R131">
        <v>183452.79</v>
      </c>
      <c r="S131">
        <v>167061</v>
      </c>
      <c r="T131">
        <v>0.121</v>
      </c>
      <c r="U131">
        <v>0.439</v>
      </c>
      <c r="V131">
        <v>3.6419999999999999</v>
      </c>
      <c r="W131">
        <v>568709</v>
      </c>
      <c r="X131">
        <v>42949</v>
      </c>
      <c r="Y131">
        <v>7.5999999999999998E-2</v>
      </c>
      <c r="Z131">
        <v>2</v>
      </c>
      <c r="AA131" t="s">
        <v>146</v>
      </c>
    </row>
    <row r="132" spans="1:27" x14ac:dyDescent="0.3">
      <c r="A132">
        <v>131</v>
      </c>
      <c r="B132">
        <v>53346</v>
      </c>
      <c r="C132" s="29">
        <v>45331</v>
      </c>
      <c r="D132" t="s">
        <v>222</v>
      </c>
      <c r="E132" t="s">
        <v>77</v>
      </c>
      <c r="F132" t="s">
        <v>80</v>
      </c>
      <c r="G132" t="s">
        <v>81</v>
      </c>
      <c r="H132">
        <v>9</v>
      </c>
      <c r="I132">
        <v>100</v>
      </c>
      <c r="J132">
        <v>11.1</v>
      </c>
      <c r="K132">
        <v>0.222</v>
      </c>
      <c r="L132">
        <v>265670</v>
      </c>
      <c r="M132">
        <v>29519</v>
      </c>
      <c r="N132">
        <v>0.53400000000000003</v>
      </c>
      <c r="O132">
        <v>0.222</v>
      </c>
      <c r="P132">
        <v>805332</v>
      </c>
      <c r="Q132">
        <v>141983</v>
      </c>
      <c r="R132">
        <v>304458.61</v>
      </c>
      <c r="S132">
        <v>264151</v>
      </c>
      <c r="T132">
        <v>0.17599999999999999</v>
      </c>
      <c r="U132">
        <v>0.46600000000000003</v>
      </c>
      <c r="V132">
        <v>2.645</v>
      </c>
      <c r="W132">
        <v>1003266</v>
      </c>
      <c r="X132">
        <v>246230</v>
      </c>
      <c r="Y132">
        <v>0.245</v>
      </c>
      <c r="Z132">
        <v>2</v>
      </c>
      <c r="AA132" t="s">
        <v>146</v>
      </c>
    </row>
    <row r="133" spans="1:27" x14ac:dyDescent="0.3">
      <c r="A133">
        <v>132</v>
      </c>
      <c r="B133">
        <v>53123</v>
      </c>
      <c r="C133" s="29">
        <v>45333</v>
      </c>
      <c r="D133" t="s">
        <v>222</v>
      </c>
      <c r="E133" t="s">
        <v>82</v>
      </c>
      <c r="F133" t="s">
        <v>118</v>
      </c>
      <c r="G133" t="s">
        <v>76</v>
      </c>
      <c r="H133">
        <v>12</v>
      </c>
      <c r="I133">
        <v>124</v>
      </c>
      <c r="J133">
        <v>10.3</v>
      </c>
      <c r="K133">
        <v>0.25</v>
      </c>
      <c r="L133">
        <v>161859</v>
      </c>
      <c r="M133">
        <v>13072</v>
      </c>
      <c r="N133">
        <v>0.877</v>
      </c>
      <c r="O133">
        <v>8.3000000000000004E-2</v>
      </c>
      <c r="P133">
        <v>792735</v>
      </c>
      <c r="Q133">
        <v>142005</v>
      </c>
      <c r="R133">
        <v>173878.3</v>
      </c>
      <c r="S133">
        <v>249520</v>
      </c>
      <c r="T133">
        <v>0.17899999999999999</v>
      </c>
      <c r="U133">
        <v>0.81699999999999995</v>
      </c>
      <c r="V133">
        <v>4.5590000000000002</v>
      </c>
      <c r="W133">
        <v>627802</v>
      </c>
      <c r="X133">
        <v>77341</v>
      </c>
      <c r="Y133">
        <v>0.123</v>
      </c>
      <c r="Z133">
        <v>2</v>
      </c>
      <c r="AA133" t="s">
        <v>146</v>
      </c>
    </row>
    <row r="134" spans="1:27" x14ac:dyDescent="0.3">
      <c r="A134">
        <v>133</v>
      </c>
      <c r="B134">
        <v>53347</v>
      </c>
      <c r="C134" s="29">
        <v>45333</v>
      </c>
      <c r="D134" t="s">
        <v>222</v>
      </c>
      <c r="E134" t="s">
        <v>82</v>
      </c>
      <c r="F134" t="s">
        <v>117</v>
      </c>
      <c r="G134" t="s">
        <v>81</v>
      </c>
      <c r="H134">
        <v>11</v>
      </c>
      <c r="I134">
        <v>124</v>
      </c>
      <c r="J134">
        <v>11.3</v>
      </c>
      <c r="K134">
        <v>0.36399999999999999</v>
      </c>
      <c r="L134">
        <v>133537</v>
      </c>
      <c r="M134">
        <v>12140</v>
      </c>
      <c r="N134">
        <v>0.79400000000000004</v>
      </c>
      <c r="O134">
        <v>0.182</v>
      </c>
      <c r="P134">
        <v>808923</v>
      </c>
      <c r="Q134">
        <v>105990</v>
      </c>
      <c r="R134">
        <v>150557.04999999999</v>
      </c>
      <c r="S134">
        <v>163102</v>
      </c>
      <c r="T134">
        <v>0.13100000000000001</v>
      </c>
      <c r="U134">
        <v>0.70399999999999996</v>
      </c>
      <c r="V134">
        <v>5.3730000000000002</v>
      </c>
      <c r="W134">
        <v>1018732</v>
      </c>
      <c r="X134">
        <v>74447</v>
      </c>
      <c r="Y134">
        <v>7.2999999999999995E-2</v>
      </c>
      <c r="Z134">
        <v>2</v>
      </c>
      <c r="AA134" t="s">
        <v>146</v>
      </c>
    </row>
    <row r="135" spans="1:27" x14ac:dyDescent="0.3">
      <c r="A135">
        <v>134</v>
      </c>
      <c r="B135">
        <v>53354</v>
      </c>
      <c r="C135" s="29">
        <v>45335</v>
      </c>
      <c r="D135" t="s">
        <v>222</v>
      </c>
      <c r="E135" t="s">
        <v>83</v>
      </c>
      <c r="F135" t="s">
        <v>101</v>
      </c>
      <c r="G135" t="s">
        <v>79</v>
      </c>
      <c r="H135">
        <v>8</v>
      </c>
      <c r="I135">
        <v>65</v>
      </c>
      <c r="J135">
        <v>8.1</v>
      </c>
      <c r="K135">
        <v>0.25</v>
      </c>
      <c r="L135">
        <v>85761</v>
      </c>
      <c r="M135">
        <v>9720</v>
      </c>
      <c r="N135">
        <v>1.107</v>
      </c>
      <c r="O135">
        <v>0</v>
      </c>
      <c r="P135">
        <v>348903</v>
      </c>
      <c r="Q135">
        <v>94919</v>
      </c>
      <c r="R135">
        <v>99699.37</v>
      </c>
      <c r="S135">
        <v>151839</v>
      </c>
      <c r="T135">
        <v>0.27200000000000002</v>
      </c>
      <c r="U135">
        <v>0.95199999999999996</v>
      </c>
      <c r="V135">
        <v>3.5</v>
      </c>
      <c r="W135">
        <v>426694</v>
      </c>
      <c r="X135">
        <v>100514</v>
      </c>
      <c r="Y135">
        <v>0.23599999999999999</v>
      </c>
      <c r="Z135">
        <v>2</v>
      </c>
      <c r="AA135" t="s">
        <v>146</v>
      </c>
    </row>
    <row r="136" spans="1:27" x14ac:dyDescent="0.3">
      <c r="A136">
        <v>135</v>
      </c>
      <c r="B136">
        <v>53354</v>
      </c>
      <c r="C136" s="29">
        <v>45337</v>
      </c>
      <c r="D136" t="s">
        <v>222</v>
      </c>
      <c r="E136" t="s">
        <v>74</v>
      </c>
      <c r="F136" t="s">
        <v>101</v>
      </c>
      <c r="G136" t="s">
        <v>79</v>
      </c>
      <c r="H136">
        <v>8</v>
      </c>
      <c r="I136">
        <v>66</v>
      </c>
      <c r="J136">
        <v>8.1999999999999993</v>
      </c>
      <c r="K136">
        <v>0.75</v>
      </c>
      <c r="L136">
        <v>89700</v>
      </c>
      <c r="M136">
        <v>9712</v>
      </c>
      <c r="N136">
        <v>-0.48799999999999999</v>
      </c>
      <c r="O136">
        <v>0</v>
      </c>
      <c r="P136">
        <v>480611</v>
      </c>
      <c r="Q136">
        <v>-43795</v>
      </c>
      <c r="R136">
        <v>99738.12</v>
      </c>
      <c r="S136">
        <v>202752</v>
      </c>
      <c r="T136">
        <v>-9.0999999999999998E-2</v>
      </c>
      <c r="U136">
        <v>-0.439</v>
      </c>
      <c r="V136">
        <v>4.819</v>
      </c>
      <c r="W136">
        <v>426694</v>
      </c>
      <c r="X136">
        <v>100514</v>
      </c>
      <c r="Y136">
        <v>0.23599999999999999</v>
      </c>
      <c r="Z136">
        <v>2</v>
      </c>
      <c r="AA136" t="s">
        <v>146</v>
      </c>
    </row>
    <row r="137" spans="1:27" x14ac:dyDescent="0.3">
      <c r="A137">
        <v>136</v>
      </c>
      <c r="B137">
        <v>53326</v>
      </c>
      <c r="C137" s="29">
        <v>45338</v>
      </c>
      <c r="D137" t="s">
        <v>222</v>
      </c>
      <c r="E137" t="s">
        <v>77</v>
      </c>
      <c r="F137" t="s">
        <v>78</v>
      </c>
      <c r="G137" t="s">
        <v>79</v>
      </c>
      <c r="H137">
        <v>9</v>
      </c>
      <c r="I137">
        <v>85</v>
      </c>
      <c r="J137">
        <v>9.4</v>
      </c>
      <c r="K137">
        <v>0.44400000000000001</v>
      </c>
      <c r="L137">
        <v>531253</v>
      </c>
      <c r="M137">
        <v>25695</v>
      </c>
      <c r="N137">
        <v>0.28599999999999998</v>
      </c>
      <c r="O137">
        <v>0.222</v>
      </c>
      <c r="P137">
        <v>967147</v>
      </c>
      <c r="Q137">
        <v>151828</v>
      </c>
      <c r="R137">
        <v>258516.29</v>
      </c>
      <c r="S137">
        <v>426736</v>
      </c>
      <c r="T137">
        <v>0.157</v>
      </c>
      <c r="U137">
        <v>0.58699999999999997</v>
      </c>
      <c r="V137">
        <v>3.7410000000000001</v>
      </c>
      <c r="W137">
        <v>702827</v>
      </c>
      <c r="X137">
        <v>104749</v>
      </c>
      <c r="Y137">
        <v>0.14899999999999999</v>
      </c>
      <c r="Z137">
        <v>2</v>
      </c>
      <c r="AA137" t="s">
        <v>146</v>
      </c>
    </row>
    <row r="138" spans="1:27" x14ac:dyDescent="0.3">
      <c r="A138">
        <v>137</v>
      </c>
      <c r="B138">
        <v>53348</v>
      </c>
      <c r="C138" s="29">
        <v>45338</v>
      </c>
      <c r="D138" t="s">
        <v>222</v>
      </c>
      <c r="E138" t="s">
        <v>77</v>
      </c>
      <c r="F138" t="s">
        <v>80</v>
      </c>
      <c r="G138" t="s">
        <v>81</v>
      </c>
      <c r="H138">
        <v>10</v>
      </c>
      <c r="I138">
        <v>90</v>
      </c>
      <c r="J138">
        <v>9</v>
      </c>
      <c r="K138">
        <v>0.2</v>
      </c>
      <c r="L138">
        <v>157917</v>
      </c>
      <c r="M138">
        <v>15792</v>
      </c>
      <c r="N138">
        <v>1.2170000000000001</v>
      </c>
      <c r="O138">
        <v>0.1</v>
      </c>
      <c r="P138">
        <v>872915</v>
      </c>
      <c r="Q138">
        <v>192229</v>
      </c>
      <c r="R138">
        <v>196866.11</v>
      </c>
      <c r="S138">
        <v>431959</v>
      </c>
      <c r="T138">
        <v>0.22</v>
      </c>
      <c r="U138">
        <v>0.97599999999999998</v>
      </c>
      <c r="V138">
        <v>4.4340000000000002</v>
      </c>
      <c r="W138">
        <v>774417</v>
      </c>
      <c r="X138">
        <v>186302</v>
      </c>
      <c r="Y138">
        <v>0.24099999999999999</v>
      </c>
      <c r="Z138">
        <v>2</v>
      </c>
      <c r="AA138" t="s">
        <v>146</v>
      </c>
    </row>
    <row r="139" spans="1:27" x14ac:dyDescent="0.3">
      <c r="A139">
        <v>138</v>
      </c>
      <c r="B139">
        <v>53349</v>
      </c>
      <c r="C139" s="29">
        <v>45339</v>
      </c>
      <c r="D139" t="s">
        <v>222</v>
      </c>
      <c r="E139" t="s">
        <v>93</v>
      </c>
      <c r="F139" t="s">
        <v>89</v>
      </c>
      <c r="G139" t="s">
        <v>81</v>
      </c>
      <c r="H139">
        <v>11</v>
      </c>
      <c r="I139">
        <v>124</v>
      </c>
      <c r="J139">
        <v>11.3</v>
      </c>
      <c r="K139">
        <v>0.36399999999999999</v>
      </c>
      <c r="L139">
        <v>151858</v>
      </c>
      <c r="M139">
        <v>13169</v>
      </c>
      <c r="N139">
        <v>0.53400000000000003</v>
      </c>
      <c r="O139">
        <v>0</v>
      </c>
      <c r="P139">
        <v>600527</v>
      </c>
      <c r="Q139">
        <v>81141</v>
      </c>
      <c r="R139">
        <v>174431.5</v>
      </c>
      <c r="S139">
        <v>286564</v>
      </c>
      <c r="T139">
        <v>0.13500000000000001</v>
      </c>
      <c r="U139">
        <v>0.46500000000000002</v>
      </c>
      <c r="V139">
        <v>3.4430000000000001</v>
      </c>
      <c r="W139">
        <v>788938</v>
      </c>
      <c r="X139">
        <v>105073</v>
      </c>
      <c r="Y139">
        <v>0.13300000000000001</v>
      </c>
      <c r="Z139">
        <v>2</v>
      </c>
      <c r="AA139" t="s">
        <v>146</v>
      </c>
    </row>
    <row r="140" spans="1:27" x14ac:dyDescent="0.3">
      <c r="A140">
        <v>139</v>
      </c>
      <c r="B140">
        <v>53337</v>
      </c>
      <c r="C140" s="29">
        <v>45340</v>
      </c>
      <c r="D140" t="s">
        <v>222</v>
      </c>
      <c r="E140" t="s">
        <v>82</v>
      </c>
      <c r="F140" t="s">
        <v>88</v>
      </c>
      <c r="G140" t="s">
        <v>76</v>
      </c>
      <c r="H140">
        <v>12</v>
      </c>
      <c r="I140">
        <v>117</v>
      </c>
      <c r="J140">
        <v>9.8000000000000007</v>
      </c>
      <c r="K140">
        <v>0.16700000000000001</v>
      </c>
      <c r="L140">
        <v>152000</v>
      </c>
      <c r="M140">
        <v>11875</v>
      </c>
      <c r="N140">
        <v>2.1970000000000001</v>
      </c>
      <c r="O140">
        <v>0.16700000000000001</v>
      </c>
      <c r="P140">
        <v>1058559</v>
      </c>
      <c r="Q140">
        <v>333939</v>
      </c>
      <c r="R140">
        <v>173339.3</v>
      </c>
      <c r="S140">
        <v>190607</v>
      </c>
      <c r="T140">
        <v>0.315</v>
      </c>
      <c r="U140">
        <v>1.927</v>
      </c>
      <c r="V140">
        <v>6.1070000000000002</v>
      </c>
      <c r="W140">
        <v>757310</v>
      </c>
      <c r="X140">
        <v>142421</v>
      </c>
      <c r="Y140">
        <v>0.188</v>
      </c>
      <c r="Z140">
        <v>2</v>
      </c>
      <c r="AA140" t="s">
        <v>146</v>
      </c>
    </row>
    <row r="141" spans="1:27" x14ac:dyDescent="0.3">
      <c r="A141">
        <v>140</v>
      </c>
      <c r="B141">
        <v>53350</v>
      </c>
      <c r="C141" s="29">
        <v>45344</v>
      </c>
      <c r="D141" t="s">
        <v>222</v>
      </c>
      <c r="E141" t="s">
        <v>74</v>
      </c>
      <c r="F141" t="s">
        <v>80</v>
      </c>
      <c r="G141" t="s">
        <v>81</v>
      </c>
      <c r="H141">
        <v>9</v>
      </c>
      <c r="I141">
        <v>95</v>
      </c>
      <c r="J141">
        <v>10.6</v>
      </c>
      <c r="K141">
        <v>0.44400000000000001</v>
      </c>
      <c r="L141">
        <v>153572</v>
      </c>
      <c r="M141">
        <v>17064</v>
      </c>
      <c r="N141">
        <v>0.84799999999999998</v>
      </c>
      <c r="O141">
        <v>0.111</v>
      </c>
      <c r="P141">
        <v>754338</v>
      </c>
      <c r="Q141">
        <v>130254</v>
      </c>
      <c r="R141">
        <v>192461.11</v>
      </c>
      <c r="S141">
        <v>274836</v>
      </c>
      <c r="T141">
        <v>0.17299999999999999</v>
      </c>
      <c r="U141">
        <v>0.67700000000000005</v>
      </c>
      <c r="V141">
        <v>3.919</v>
      </c>
      <c r="W141">
        <v>903737</v>
      </c>
      <c r="X141">
        <v>133356</v>
      </c>
      <c r="Y141">
        <v>0.14799999999999999</v>
      </c>
      <c r="Z141">
        <v>2</v>
      </c>
      <c r="AA141" t="s">
        <v>146</v>
      </c>
    </row>
    <row r="142" spans="1:27" x14ac:dyDescent="0.3">
      <c r="A142">
        <v>141</v>
      </c>
      <c r="B142">
        <v>53327</v>
      </c>
      <c r="C142" s="29">
        <v>45345</v>
      </c>
      <c r="D142" t="s">
        <v>222</v>
      </c>
      <c r="E142" t="s">
        <v>77</v>
      </c>
      <c r="F142" t="s">
        <v>84</v>
      </c>
      <c r="G142" t="s">
        <v>79</v>
      </c>
      <c r="H142">
        <v>9</v>
      </c>
      <c r="I142">
        <v>82</v>
      </c>
      <c r="J142">
        <v>9.1</v>
      </c>
      <c r="K142">
        <v>0.33300000000000002</v>
      </c>
      <c r="L142">
        <v>107075</v>
      </c>
      <c r="M142">
        <v>11897</v>
      </c>
      <c r="N142">
        <v>-0.59</v>
      </c>
      <c r="O142">
        <v>0.111</v>
      </c>
      <c r="P142">
        <v>576722</v>
      </c>
      <c r="Q142">
        <v>-63192</v>
      </c>
      <c r="R142">
        <v>133287.64000000001</v>
      </c>
      <c r="S142">
        <v>265743</v>
      </c>
      <c r="T142">
        <v>-0.11</v>
      </c>
      <c r="U142">
        <v>-0.47399999999999998</v>
      </c>
      <c r="V142">
        <v>4.327</v>
      </c>
      <c r="W142">
        <v>504892</v>
      </c>
      <c r="X142">
        <v>53532</v>
      </c>
      <c r="Y142">
        <v>0.106</v>
      </c>
      <c r="Z142">
        <v>2</v>
      </c>
      <c r="AA142" t="s">
        <v>146</v>
      </c>
    </row>
    <row r="143" spans="1:27" x14ac:dyDescent="0.3">
      <c r="A143">
        <v>142</v>
      </c>
      <c r="B143">
        <v>53338</v>
      </c>
      <c r="C143" s="29">
        <v>45345</v>
      </c>
      <c r="D143" t="s">
        <v>222</v>
      </c>
      <c r="E143" t="s">
        <v>77</v>
      </c>
      <c r="F143" t="s">
        <v>90</v>
      </c>
      <c r="G143" t="s">
        <v>76</v>
      </c>
      <c r="H143">
        <v>11</v>
      </c>
      <c r="I143">
        <v>118</v>
      </c>
      <c r="J143">
        <v>10.7</v>
      </c>
      <c r="K143">
        <v>0.36399999999999999</v>
      </c>
      <c r="L143">
        <v>129797</v>
      </c>
      <c r="M143">
        <v>11800</v>
      </c>
      <c r="N143">
        <v>0.91100000000000003</v>
      </c>
      <c r="O143">
        <v>0.27300000000000002</v>
      </c>
      <c r="P143">
        <v>833107</v>
      </c>
      <c r="Q143">
        <v>118238</v>
      </c>
      <c r="R143">
        <v>165345.68</v>
      </c>
      <c r="S143">
        <v>212715</v>
      </c>
      <c r="T143">
        <v>0.14199999999999999</v>
      </c>
      <c r="U143">
        <v>0.71499999999999997</v>
      </c>
      <c r="V143">
        <v>5.0389999999999997</v>
      </c>
      <c r="W143">
        <v>681068</v>
      </c>
      <c r="X143">
        <v>140229</v>
      </c>
      <c r="Y143">
        <v>0.20599999999999999</v>
      </c>
      <c r="Z143">
        <v>2</v>
      </c>
      <c r="AA143" t="s">
        <v>146</v>
      </c>
    </row>
    <row r="144" spans="1:27" x14ac:dyDescent="0.3">
      <c r="A144">
        <v>143</v>
      </c>
      <c r="B144">
        <v>53351</v>
      </c>
      <c r="C144" s="29">
        <v>45346</v>
      </c>
      <c r="D144" t="s">
        <v>222</v>
      </c>
      <c r="E144" t="s">
        <v>93</v>
      </c>
      <c r="F144" t="s">
        <v>86</v>
      </c>
      <c r="G144" t="s">
        <v>81</v>
      </c>
      <c r="H144">
        <v>10</v>
      </c>
      <c r="I144">
        <v>109</v>
      </c>
      <c r="J144">
        <v>10.9</v>
      </c>
      <c r="K144">
        <v>0.3</v>
      </c>
      <c r="L144">
        <v>126222</v>
      </c>
      <c r="M144">
        <v>12622</v>
      </c>
      <c r="N144">
        <v>0.89500000000000002</v>
      </c>
      <c r="O144">
        <v>0.1</v>
      </c>
      <c r="P144">
        <v>663613</v>
      </c>
      <c r="Q144">
        <v>113020</v>
      </c>
      <c r="R144">
        <v>155996.5</v>
      </c>
      <c r="S144">
        <v>283431</v>
      </c>
      <c r="T144">
        <v>0.17</v>
      </c>
      <c r="U144">
        <v>0.72499999999999998</v>
      </c>
      <c r="V144">
        <v>4.2539999999999996</v>
      </c>
      <c r="W144">
        <v>733666</v>
      </c>
      <c r="X144">
        <v>177391</v>
      </c>
      <c r="Y144">
        <v>0.24199999999999999</v>
      </c>
      <c r="Z144">
        <v>2</v>
      </c>
      <c r="AA144" t="s">
        <v>146</v>
      </c>
    </row>
    <row r="145" spans="1:27" x14ac:dyDescent="0.3">
      <c r="A145">
        <v>144</v>
      </c>
      <c r="B145">
        <v>53328</v>
      </c>
      <c r="C145" s="29">
        <v>45347</v>
      </c>
      <c r="D145" t="s">
        <v>222</v>
      </c>
      <c r="E145" t="s">
        <v>82</v>
      </c>
      <c r="F145" t="s">
        <v>84</v>
      </c>
      <c r="G145" t="s">
        <v>79</v>
      </c>
      <c r="H145">
        <v>7</v>
      </c>
      <c r="I145">
        <v>65</v>
      </c>
      <c r="J145">
        <v>9.3000000000000007</v>
      </c>
      <c r="K145">
        <v>0.28599999999999998</v>
      </c>
      <c r="L145">
        <v>77763</v>
      </c>
      <c r="M145">
        <v>11109</v>
      </c>
      <c r="N145">
        <v>1.5429999999999999</v>
      </c>
      <c r="O145">
        <v>0</v>
      </c>
      <c r="P145">
        <v>448685</v>
      </c>
      <c r="Q145">
        <v>119983</v>
      </c>
      <c r="R145">
        <v>103976.39</v>
      </c>
      <c r="S145">
        <v>113996</v>
      </c>
      <c r="T145">
        <v>0.26700000000000002</v>
      </c>
      <c r="U145">
        <v>1.1539999999999999</v>
      </c>
      <c r="V145">
        <v>4.3150000000000004</v>
      </c>
      <c r="W145">
        <v>504892</v>
      </c>
      <c r="X145">
        <v>53532</v>
      </c>
      <c r="Y145">
        <v>0.106</v>
      </c>
      <c r="Z145">
        <v>2</v>
      </c>
      <c r="AA145" t="s">
        <v>146</v>
      </c>
    </row>
    <row r="146" spans="1:27" x14ac:dyDescent="0.3">
      <c r="A146">
        <v>145</v>
      </c>
      <c r="B146">
        <v>53338</v>
      </c>
      <c r="C146" s="29">
        <v>45347</v>
      </c>
      <c r="D146" t="s">
        <v>222</v>
      </c>
      <c r="E146" t="s">
        <v>82</v>
      </c>
      <c r="F146" t="s">
        <v>90</v>
      </c>
      <c r="G146" t="s">
        <v>76</v>
      </c>
      <c r="H146">
        <v>11</v>
      </c>
      <c r="I146">
        <v>128</v>
      </c>
      <c r="J146">
        <v>11.6</v>
      </c>
      <c r="K146">
        <v>0.27300000000000002</v>
      </c>
      <c r="L146">
        <v>141986</v>
      </c>
      <c r="M146">
        <v>12908</v>
      </c>
      <c r="N146">
        <v>1.7749999999999999</v>
      </c>
      <c r="O146">
        <v>0.36399999999999999</v>
      </c>
      <c r="P146">
        <v>1109618</v>
      </c>
      <c r="Q146">
        <v>252075</v>
      </c>
      <c r="R146">
        <v>177233.18</v>
      </c>
      <c r="S146">
        <v>213003</v>
      </c>
      <c r="T146">
        <v>0.22700000000000001</v>
      </c>
      <c r="U146">
        <v>1.4219999999999999</v>
      </c>
      <c r="V146">
        <v>6.2610000000000001</v>
      </c>
      <c r="W146">
        <v>775614</v>
      </c>
      <c r="X146">
        <v>101128</v>
      </c>
      <c r="Y146">
        <v>0.13</v>
      </c>
      <c r="Z146">
        <v>2</v>
      </c>
      <c r="AA146" t="s">
        <v>146</v>
      </c>
    </row>
    <row r="147" spans="1:27" x14ac:dyDescent="0.3">
      <c r="A147">
        <v>146</v>
      </c>
      <c r="B147">
        <v>53353</v>
      </c>
      <c r="C147" s="29">
        <v>45351</v>
      </c>
      <c r="D147" t="s">
        <v>222</v>
      </c>
      <c r="E147" t="s">
        <v>74</v>
      </c>
      <c r="F147" t="s">
        <v>80</v>
      </c>
      <c r="G147" t="s">
        <v>81</v>
      </c>
      <c r="H147">
        <v>9</v>
      </c>
      <c r="I147">
        <v>98</v>
      </c>
      <c r="J147">
        <v>10.9</v>
      </c>
      <c r="K147">
        <v>0.33300000000000002</v>
      </c>
      <c r="L147">
        <v>156737</v>
      </c>
      <c r="M147">
        <v>17415</v>
      </c>
      <c r="N147">
        <v>1.3169999999999999</v>
      </c>
      <c r="O147">
        <v>0.111</v>
      </c>
      <c r="P147">
        <v>847769</v>
      </c>
      <c r="Q147">
        <v>206405</v>
      </c>
      <c r="R147">
        <v>195626.11</v>
      </c>
      <c r="S147">
        <v>342775</v>
      </c>
      <c r="T147">
        <v>0.24299999999999999</v>
      </c>
      <c r="U147">
        <v>1.0549999999999999</v>
      </c>
      <c r="V147">
        <v>4.3339999999999996</v>
      </c>
      <c r="W147">
        <v>803837</v>
      </c>
      <c r="X147">
        <v>65866</v>
      </c>
      <c r="Y147">
        <v>8.2000000000000003E-2</v>
      </c>
      <c r="Z147">
        <v>2</v>
      </c>
      <c r="AA147" t="s">
        <v>146</v>
      </c>
    </row>
    <row r="148" spans="1:27" x14ac:dyDescent="0.3">
      <c r="A148">
        <v>147</v>
      </c>
      <c r="B148">
        <v>53339</v>
      </c>
      <c r="C148" s="29">
        <v>45352</v>
      </c>
      <c r="D148" t="s">
        <v>222</v>
      </c>
      <c r="E148" t="s">
        <v>77</v>
      </c>
      <c r="F148" t="s">
        <v>85</v>
      </c>
      <c r="G148" t="s">
        <v>76</v>
      </c>
      <c r="H148">
        <v>10</v>
      </c>
      <c r="I148">
        <v>94</v>
      </c>
      <c r="J148">
        <v>9.4</v>
      </c>
      <c r="K148">
        <v>0.5</v>
      </c>
      <c r="L148">
        <v>136300</v>
      </c>
      <c r="M148">
        <v>12880</v>
      </c>
      <c r="N148">
        <v>0.42699999999999999</v>
      </c>
      <c r="O148">
        <v>0.1</v>
      </c>
      <c r="P148">
        <v>633276</v>
      </c>
      <c r="Q148">
        <v>58202</v>
      </c>
      <c r="R148">
        <v>155976.07</v>
      </c>
      <c r="S148">
        <v>229889</v>
      </c>
      <c r="T148">
        <v>9.1999999999999998E-2</v>
      </c>
      <c r="U148">
        <v>0.373</v>
      </c>
      <c r="V148">
        <v>4.0599999999999996</v>
      </c>
      <c r="W148">
        <v>0</v>
      </c>
      <c r="X148">
        <v>0</v>
      </c>
      <c r="Y148">
        <v>0</v>
      </c>
      <c r="Z148">
        <v>3</v>
      </c>
      <c r="AA148" t="s">
        <v>146</v>
      </c>
    </row>
    <row r="149" spans="1:27" x14ac:dyDescent="0.3">
      <c r="A149">
        <v>148</v>
      </c>
      <c r="B149">
        <v>53357</v>
      </c>
      <c r="C149" s="29">
        <v>45352</v>
      </c>
      <c r="D149" t="s">
        <v>222</v>
      </c>
      <c r="E149" t="s">
        <v>77</v>
      </c>
      <c r="F149" t="s">
        <v>78</v>
      </c>
      <c r="G149" t="s">
        <v>79</v>
      </c>
      <c r="H149">
        <v>8</v>
      </c>
      <c r="I149">
        <v>64</v>
      </c>
      <c r="J149">
        <v>8</v>
      </c>
      <c r="K149">
        <v>0.25</v>
      </c>
      <c r="L149">
        <v>166208</v>
      </c>
      <c r="M149">
        <v>20776</v>
      </c>
      <c r="N149">
        <v>0.81799999999999995</v>
      </c>
      <c r="O149">
        <v>0</v>
      </c>
      <c r="P149">
        <v>720823</v>
      </c>
      <c r="Q149">
        <v>136025</v>
      </c>
      <c r="R149">
        <v>193472.79</v>
      </c>
      <c r="S149">
        <v>254914</v>
      </c>
      <c r="T149">
        <v>0.189</v>
      </c>
      <c r="U149">
        <v>0.70299999999999996</v>
      </c>
      <c r="V149">
        <v>3.726</v>
      </c>
      <c r="W149">
        <v>534242</v>
      </c>
      <c r="X149">
        <v>83524</v>
      </c>
      <c r="Y149">
        <v>0.156</v>
      </c>
      <c r="Z149">
        <v>3</v>
      </c>
      <c r="AA149" t="s">
        <v>146</v>
      </c>
    </row>
    <row r="150" spans="1:27" x14ac:dyDescent="0.3">
      <c r="A150">
        <v>149</v>
      </c>
      <c r="B150">
        <v>53355</v>
      </c>
      <c r="C150" s="29">
        <v>45354</v>
      </c>
      <c r="D150" t="s">
        <v>222</v>
      </c>
      <c r="E150" t="s">
        <v>82</v>
      </c>
      <c r="F150" t="s">
        <v>89</v>
      </c>
      <c r="G150" t="s">
        <v>81</v>
      </c>
      <c r="H150">
        <v>10</v>
      </c>
      <c r="I150">
        <v>101</v>
      </c>
      <c r="J150">
        <v>10.1</v>
      </c>
      <c r="K150">
        <v>0.1</v>
      </c>
      <c r="L150">
        <v>109808</v>
      </c>
      <c r="M150">
        <v>10981</v>
      </c>
      <c r="N150">
        <v>2.0489999999999999</v>
      </c>
      <c r="O150">
        <v>0.2</v>
      </c>
      <c r="P150">
        <v>828146</v>
      </c>
      <c r="Q150">
        <v>225020</v>
      </c>
      <c r="R150">
        <v>139381.5</v>
      </c>
      <c r="S150">
        <v>221114</v>
      </c>
      <c r="T150">
        <v>0.27200000000000002</v>
      </c>
      <c r="U150">
        <v>1.6140000000000001</v>
      </c>
      <c r="V150">
        <v>5.9420000000000002</v>
      </c>
      <c r="W150">
        <v>0</v>
      </c>
      <c r="X150">
        <v>0</v>
      </c>
      <c r="Y150">
        <v>0</v>
      </c>
      <c r="Z150">
        <v>3</v>
      </c>
      <c r="AA150" t="s">
        <v>146</v>
      </c>
    </row>
    <row r="151" spans="1:27" x14ac:dyDescent="0.3">
      <c r="A151">
        <v>150</v>
      </c>
      <c r="B151">
        <v>53340</v>
      </c>
      <c r="C151" s="29">
        <v>45357</v>
      </c>
      <c r="D151" t="s">
        <v>222</v>
      </c>
      <c r="E151" t="s">
        <v>96</v>
      </c>
      <c r="F151" t="s">
        <v>92</v>
      </c>
      <c r="G151" t="s">
        <v>76</v>
      </c>
      <c r="H151">
        <v>8</v>
      </c>
      <c r="I151">
        <v>79</v>
      </c>
      <c r="J151">
        <v>9.9</v>
      </c>
      <c r="K151">
        <v>0.375</v>
      </c>
      <c r="L151">
        <v>92272</v>
      </c>
      <c r="M151">
        <v>10909</v>
      </c>
      <c r="N151">
        <v>0.61199999999999999</v>
      </c>
      <c r="O151">
        <v>0.125</v>
      </c>
      <c r="P151">
        <v>514821</v>
      </c>
      <c r="Q151">
        <v>56480</v>
      </c>
      <c r="R151">
        <v>112434.78</v>
      </c>
      <c r="S151">
        <v>236419</v>
      </c>
      <c r="T151">
        <v>0.11</v>
      </c>
      <c r="U151">
        <v>0.502</v>
      </c>
      <c r="V151">
        <v>4.5789999999999997</v>
      </c>
      <c r="W151">
        <v>720592</v>
      </c>
      <c r="X151">
        <v>189833</v>
      </c>
      <c r="Y151">
        <v>0.26300000000000001</v>
      </c>
      <c r="Z151">
        <v>3</v>
      </c>
      <c r="AA151" t="s">
        <v>146</v>
      </c>
    </row>
    <row r="152" spans="1:27" x14ac:dyDescent="0.3">
      <c r="A152">
        <v>151</v>
      </c>
      <c r="B152">
        <v>53534</v>
      </c>
      <c r="C152" s="29">
        <v>45358</v>
      </c>
      <c r="D152" t="s">
        <v>222</v>
      </c>
      <c r="E152" t="s">
        <v>74</v>
      </c>
      <c r="F152" t="s">
        <v>84</v>
      </c>
      <c r="G152" t="s">
        <v>79</v>
      </c>
      <c r="H152">
        <v>8</v>
      </c>
      <c r="I152">
        <v>76</v>
      </c>
      <c r="J152">
        <v>9.5</v>
      </c>
      <c r="K152">
        <v>0.125</v>
      </c>
      <c r="L152">
        <v>111459</v>
      </c>
      <c r="M152">
        <v>13932</v>
      </c>
      <c r="N152">
        <v>0.42899999999999999</v>
      </c>
      <c r="O152">
        <v>0.125</v>
      </c>
      <c r="P152">
        <v>525633</v>
      </c>
      <c r="Q152">
        <v>47820</v>
      </c>
      <c r="R152">
        <v>137672.64000000001</v>
      </c>
      <c r="S152">
        <v>188519</v>
      </c>
      <c r="T152">
        <v>9.0999999999999998E-2</v>
      </c>
      <c r="U152">
        <v>0.34699999999999998</v>
      </c>
      <c r="V152">
        <v>3.8180000000000001</v>
      </c>
      <c r="W152">
        <v>634421</v>
      </c>
      <c r="X152">
        <v>211861</v>
      </c>
      <c r="Y152">
        <v>0.33400000000000002</v>
      </c>
      <c r="Z152">
        <v>3</v>
      </c>
      <c r="AA152" t="s">
        <v>146</v>
      </c>
    </row>
    <row r="153" spans="1:27" x14ac:dyDescent="0.3">
      <c r="A153">
        <v>152</v>
      </c>
      <c r="B153">
        <v>53356</v>
      </c>
      <c r="C153" s="29">
        <v>45359</v>
      </c>
      <c r="D153" t="s">
        <v>222</v>
      </c>
      <c r="E153" t="s">
        <v>77</v>
      </c>
      <c r="F153" t="s">
        <v>105</v>
      </c>
      <c r="G153" t="s">
        <v>81</v>
      </c>
      <c r="H153">
        <v>11</v>
      </c>
      <c r="I153">
        <v>123</v>
      </c>
      <c r="J153">
        <v>11.2</v>
      </c>
      <c r="K153">
        <v>9.0999999999999998E-2</v>
      </c>
      <c r="L153">
        <v>136005</v>
      </c>
      <c r="M153">
        <v>12000</v>
      </c>
      <c r="N153">
        <v>1.427</v>
      </c>
      <c r="O153">
        <v>0.36399999999999999</v>
      </c>
      <c r="P153">
        <v>981277</v>
      </c>
      <c r="Q153">
        <v>194035</v>
      </c>
      <c r="R153">
        <v>170787.94</v>
      </c>
      <c r="S153">
        <v>368468</v>
      </c>
      <c r="T153">
        <v>0.19800000000000001</v>
      </c>
      <c r="U153">
        <v>1.1359999999999999</v>
      </c>
      <c r="V153">
        <v>5.7460000000000004</v>
      </c>
      <c r="W153">
        <v>820401</v>
      </c>
      <c r="X153">
        <v>189430</v>
      </c>
      <c r="Y153">
        <v>0.23100000000000001</v>
      </c>
      <c r="Z153">
        <v>3</v>
      </c>
      <c r="AA153" t="s">
        <v>146</v>
      </c>
    </row>
    <row r="154" spans="1:27" x14ac:dyDescent="0.3">
      <c r="A154">
        <v>153</v>
      </c>
      <c r="B154">
        <v>53533</v>
      </c>
      <c r="C154" s="29">
        <v>45359</v>
      </c>
      <c r="D154" t="s">
        <v>222</v>
      </c>
      <c r="E154" t="s">
        <v>77</v>
      </c>
      <c r="F154" t="s">
        <v>78</v>
      </c>
      <c r="G154" t="s">
        <v>79</v>
      </c>
      <c r="H154">
        <v>7</v>
      </c>
      <c r="I154">
        <v>45</v>
      </c>
      <c r="J154">
        <v>6.4</v>
      </c>
      <c r="K154">
        <v>0.28599999999999998</v>
      </c>
      <c r="L154">
        <v>117553</v>
      </c>
      <c r="M154">
        <v>16793</v>
      </c>
      <c r="N154">
        <v>0.25600000000000001</v>
      </c>
      <c r="O154">
        <v>0</v>
      </c>
      <c r="P154">
        <v>445430</v>
      </c>
      <c r="Q154">
        <v>30132</v>
      </c>
      <c r="R154">
        <v>144917.79</v>
      </c>
      <c r="S154">
        <v>241919</v>
      </c>
      <c r="T154">
        <v>6.8000000000000005E-2</v>
      </c>
      <c r="U154">
        <v>0.20799999999999999</v>
      </c>
      <c r="V154">
        <v>3.0739999999999998</v>
      </c>
      <c r="W154">
        <v>549669</v>
      </c>
      <c r="X154">
        <v>106308</v>
      </c>
      <c r="Y154">
        <v>0.193</v>
      </c>
      <c r="Z154">
        <v>3</v>
      </c>
      <c r="AA154" t="s">
        <v>146</v>
      </c>
    </row>
    <row r="155" spans="1:27" x14ac:dyDescent="0.3">
      <c r="A155">
        <v>154</v>
      </c>
      <c r="B155">
        <v>53341</v>
      </c>
      <c r="C155" s="29">
        <v>45360</v>
      </c>
      <c r="D155" t="s">
        <v>222</v>
      </c>
      <c r="E155" t="s">
        <v>93</v>
      </c>
      <c r="F155" t="s">
        <v>97</v>
      </c>
      <c r="G155" t="s">
        <v>76</v>
      </c>
      <c r="H155">
        <v>11</v>
      </c>
      <c r="I155">
        <v>108</v>
      </c>
      <c r="J155">
        <v>9.8000000000000007</v>
      </c>
      <c r="K155">
        <v>0.54500000000000004</v>
      </c>
      <c r="L155">
        <v>163650</v>
      </c>
      <c r="M155">
        <v>14559</v>
      </c>
      <c r="N155">
        <v>0.46200000000000002</v>
      </c>
      <c r="O155">
        <v>0</v>
      </c>
      <c r="P155">
        <v>529331</v>
      </c>
      <c r="Q155">
        <v>75650</v>
      </c>
      <c r="R155">
        <v>177268.3</v>
      </c>
      <c r="S155">
        <v>121908</v>
      </c>
      <c r="T155">
        <v>0.14299999999999999</v>
      </c>
      <c r="U155">
        <v>0.42699999999999999</v>
      </c>
      <c r="V155">
        <v>2.9860000000000002</v>
      </c>
      <c r="W155">
        <v>535887</v>
      </c>
      <c r="X155">
        <v>121033</v>
      </c>
      <c r="Y155">
        <v>0.22600000000000001</v>
      </c>
      <c r="Z155">
        <v>3</v>
      </c>
      <c r="AA155" t="s">
        <v>146</v>
      </c>
    </row>
    <row r="156" spans="1:27" x14ac:dyDescent="0.3">
      <c r="A156">
        <v>155</v>
      </c>
      <c r="B156">
        <v>53358</v>
      </c>
      <c r="C156" s="29">
        <v>45361</v>
      </c>
      <c r="D156" t="s">
        <v>222</v>
      </c>
      <c r="E156" t="s">
        <v>82</v>
      </c>
      <c r="F156" t="s">
        <v>106</v>
      </c>
      <c r="G156" t="s">
        <v>81</v>
      </c>
      <c r="H156">
        <v>12</v>
      </c>
      <c r="I156">
        <v>127</v>
      </c>
      <c r="J156">
        <v>10.6</v>
      </c>
      <c r="K156">
        <v>0.33300000000000002</v>
      </c>
      <c r="L156">
        <v>146772</v>
      </c>
      <c r="M156">
        <v>11814</v>
      </c>
      <c r="N156">
        <v>0.71499999999999997</v>
      </c>
      <c r="O156">
        <v>0.25</v>
      </c>
      <c r="P156">
        <v>869544</v>
      </c>
      <c r="Q156">
        <v>104968</v>
      </c>
      <c r="R156">
        <v>165826.5</v>
      </c>
      <c r="S156">
        <v>184343</v>
      </c>
      <c r="T156">
        <v>0.121</v>
      </c>
      <c r="U156">
        <v>0.63300000000000001</v>
      </c>
      <c r="V156">
        <v>5.2439999999999998</v>
      </c>
      <c r="W156">
        <v>832383</v>
      </c>
      <c r="X156">
        <v>201229</v>
      </c>
      <c r="Y156">
        <v>0.24199999999999999</v>
      </c>
      <c r="Z156">
        <v>3</v>
      </c>
      <c r="AA156" t="s">
        <v>146</v>
      </c>
    </row>
    <row r="157" spans="1:27" x14ac:dyDescent="0.3">
      <c r="A157">
        <v>156</v>
      </c>
      <c r="B157">
        <v>53549</v>
      </c>
      <c r="C157" s="29">
        <v>45363</v>
      </c>
      <c r="D157" t="s">
        <v>222</v>
      </c>
      <c r="E157" t="s">
        <v>83</v>
      </c>
      <c r="F157" t="s">
        <v>101</v>
      </c>
      <c r="G157" t="s">
        <v>79</v>
      </c>
      <c r="H157">
        <v>8</v>
      </c>
      <c r="I157">
        <v>59</v>
      </c>
      <c r="J157">
        <v>7.4</v>
      </c>
      <c r="K157">
        <v>0.25</v>
      </c>
      <c r="L157">
        <v>84553</v>
      </c>
      <c r="M157">
        <v>9569</v>
      </c>
      <c r="N157">
        <v>1.389</v>
      </c>
      <c r="O157">
        <v>0</v>
      </c>
      <c r="P157">
        <v>301046</v>
      </c>
      <c r="Q157">
        <v>117418</v>
      </c>
      <c r="R157">
        <v>98591.87</v>
      </c>
      <c r="S157">
        <v>118611</v>
      </c>
      <c r="T157">
        <v>0.39</v>
      </c>
      <c r="U157">
        <v>1.1910000000000001</v>
      </c>
      <c r="V157">
        <v>3.0529999999999999</v>
      </c>
      <c r="W157">
        <v>285248</v>
      </c>
      <c r="X157">
        <v>37659</v>
      </c>
      <c r="Y157">
        <v>0.13200000000000001</v>
      </c>
      <c r="Z157">
        <v>3</v>
      </c>
      <c r="AA157" t="s">
        <v>146</v>
      </c>
    </row>
    <row r="158" spans="1:27" x14ac:dyDescent="0.3">
      <c r="A158">
        <v>157</v>
      </c>
      <c r="B158">
        <v>53549</v>
      </c>
      <c r="C158" s="29">
        <v>45365</v>
      </c>
      <c r="D158" t="s">
        <v>222</v>
      </c>
      <c r="E158" t="s">
        <v>74</v>
      </c>
      <c r="F158" t="s">
        <v>101</v>
      </c>
      <c r="G158" t="s">
        <v>79</v>
      </c>
      <c r="H158">
        <v>8</v>
      </c>
      <c r="I158">
        <v>63</v>
      </c>
      <c r="J158">
        <v>7.9</v>
      </c>
      <c r="K158">
        <v>0.5</v>
      </c>
      <c r="L158">
        <v>103670</v>
      </c>
      <c r="M158">
        <v>11834</v>
      </c>
      <c r="N158">
        <v>0.98099999999999998</v>
      </c>
      <c r="O158">
        <v>0.25</v>
      </c>
      <c r="P158">
        <v>449726</v>
      </c>
      <c r="Q158">
        <v>101680</v>
      </c>
      <c r="R158">
        <v>116808.12</v>
      </c>
      <c r="S158">
        <v>204886</v>
      </c>
      <c r="T158">
        <v>0.22600000000000001</v>
      </c>
      <c r="U158">
        <v>0.87</v>
      </c>
      <c r="V158">
        <v>3.85</v>
      </c>
      <c r="W158">
        <v>377440</v>
      </c>
      <c r="X158">
        <v>37809</v>
      </c>
      <c r="Y158">
        <v>0.1</v>
      </c>
      <c r="Z158">
        <v>3</v>
      </c>
      <c r="AA158" t="s">
        <v>146</v>
      </c>
    </row>
    <row r="159" spans="1:27" x14ac:dyDescent="0.3">
      <c r="A159">
        <v>158</v>
      </c>
      <c r="B159">
        <v>53532</v>
      </c>
      <c r="C159" s="29">
        <v>45366</v>
      </c>
      <c r="D159" t="s">
        <v>222</v>
      </c>
      <c r="E159" t="s">
        <v>77</v>
      </c>
      <c r="F159" t="s">
        <v>80</v>
      </c>
      <c r="G159" t="s">
        <v>81</v>
      </c>
      <c r="H159">
        <v>11</v>
      </c>
      <c r="I159">
        <v>113</v>
      </c>
      <c r="J159">
        <v>10.3</v>
      </c>
      <c r="K159">
        <v>0.36399999999999999</v>
      </c>
      <c r="L159">
        <v>207687</v>
      </c>
      <c r="M159">
        <v>18881</v>
      </c>
      <c r="N159">
        <v>0.64500000000000002</v>
      </c>
      <c r="O159">
        <v>0.182</v>
      </c>
      <c r="P159">
        <v>908506</v>
      </c>
      <c r="Q159">
        <v>133956</v>
      </c>
      <c r="R159">
        <v>246476.11</v>
      </c>
      <c r="S159">
        <v>285224</v>
      </c>
      <c r="T159">
        <v>0.14699999999999999</v>
      </c>
      <c r="U159">
        <v>0.54300000000000004</v>
      </c>
      <c r="V159">
        <v>3.6859999999999999</v>
      </c>
      <c r="W159">
        <v>840639</v>
      </c>
      <c r="X159">
        <v>139697</v>
      </c>
      <c r="Y159">
        <v>0.16600000000000001</v>
      </c>
      <c r="Z159">
        <v>3</v>
      </c>
      <c r="AA159" t="s">
        <v>146</v>
      </c>
    </row>
    <row r="160" spans="1:27" x14ac:dyDescent="0.3">
      <c r="A160">
        <v>159</v>
      </c>
      <c r="B160">
        <v>53546</v>
      </c>
      <c r="C160" s="29">
        <v>45366</v>
      </c>
      <c r="D160" t="s">
        <v>222</v>
      </c>
      <c r="E160" t="s">
        <v>77</v>
      </c>
      <c r="F160" t="s">
        <v>78</v>
      </c>
      <c r="G160" t="s">
        <v>79</v>
      </c>
      <c r="H160">
        <v>9</v>
      </c>
      <c r="I160">
        <v>69</v>
      </c>
      <c r="J160">
        <v>7.7</v>
      </c>
      <c r="K160">
        <v>0.55600000000000005</v>
      </c>
      <c r="L160">
        <v>225660</v>
      </c>
      <c r="M160">
        <v>19490</v>
      </c>
      <c r="N160">
        <v>0.58899999999999997</v>
      </c>
      <c r="O160">
        <v>0.111</v>
      </c>
      <c r="P160">
        <v>634477</v>
      </c>
      <c r="Q160">
        <v>132918</v>
      </c>
      <c r="R160">
        <v>202675.29</v>
      </c>
      <c r="S160">
        <v>242363</v>
      </c>
      <c r="T160">
        <v>0.20899999999999999</v>
      </c>
      <c r="U160">
        <v>0.65600000000000003</v>
      </c>
      <c r="V160">
        <v>3.1309999999999998</v>
      </c>
      <c r="W160">
        <v>522057</v>
      </c>
      <c r="X160">
        <v>136312</v>
      </c>
      <c r="Y160">
        <v>0.26100000000000001</v>
      </c>
      <c r="Z160">
        <v>3</v>
      </c>
      <c r="AA160" t="s">
        <v>146</v>
      </c>
    </row>
    <row r="161" spans="1:27" x14ac:dyDescent="0.3">
      <c r="A161">
        <v>160</v>
      </c>
      <c r="B161">
        <v>53343</v>
      </c>
      <c r="C161" s="29">
        <v>45367</v>
      </c>
      <c r="D161" t="s">
        <v>222</v>
      </c>
      <c r="E161" t="s">
        <v>93</v>
      </c>
      <c r="F161" t="s">
        <v>90</v>
      </c>
      <c r="G161" t="s">
        <v>76</v>
      </c>
      <c r="H161">
        <v>12</v>
      </c>
      <c r="I161">
        <v>127</v>
      </c>
      <c r="J161">
        <v>10.6</v>
      </c>
      <c r="K161">
        <v>0.16700000000000001</v>
      </c>
      <c r="L161">
        <v>172260</v>
      </c>
      <c r="M161">
        <v>13730</v>
      </c>
      <c r="N161">
        <v>1.0640000000000001</v>
      </c>
      <c r="O161">
        <v>8.3000000000000004E-2</v>
      </c>
      <c r="P161">
        <v>746054</v>
      </c>
      <c r="Q161">
        <v>183223</v>
      </c>
      <c r="R161">
        <v>200008.18</v>
      </c>
      <c r="S161">
        <v>273231</v>
      </c>
      <c r="T161">
        <v>0.246</v>
      </c>
      <c r="U161">
        <v>0.91600000000000004</v>
      </c>
      <c r="V161">
        <v>3.73</v>
      </c>
      <c r="W161">
        <v>532605</v>
      </c>
      <c r="X161">
        <v>112408</v>
      </c>
      <c r="Y161">
        <v>0.21099999999999999</v>
      </c>
      <c r="Z161">
        <v>3</v>
      </c>
      <c r="AA161" t="s">
        <v>146</v>
      </c>
    </row>
    <row r="162" spans="1:27" x14ac:dyDescent="0.3">
      <c r="A162">
        <v>161</v>
      </c>
      <c r="B162">
        <v>53537</v>
      </c>
      <c r="C162" s="29">
        <v>45368</v>
      </c>
      <c r="D162" t="s">
        <v>222</v>
      </c>
      <c r="E162" t="s">
        <v>82</v>
      </c>
      <c r="F162" t="s">
        <v>94</v>
      </c>
      <c r="G162" t="s">
        <v>81</v>
      </c>
      <c r="H162">
        <v>12</v>
      </c>
      <c r="I162">
        <v>148</v>
      </c>
      <c r="J162">
        <v>12.3</v>
      </c>
      <c r="K162">
        <v>8.3000000000000004E-2</v>
      </c>
      <c r="L162">
        <v>142119</v>
      </c>
      <c r="M162">
        <v>11843</v>
      </c>
      <c r="N162">
        <v>1.139</v>
      </c>
      <c r="O162">
        <v>0.16700000000000001</v>
      </c>
      <c r="P162">
        <v>1071851</v>
      </c>
      <c r="Q162">
        <v>161881</v>
      </c>
      <c r="R162">
        <v>179238.76</v>
      </c>
      <c r="S162">
        <v>191547</v>
      </c>
      <c r="T162">
        <v>0.151</v>
      </c>
      <c r="U162">
        <v>0.90300000000000002</v>
      </c>
      <c r="V162">
        <v>5.98</v>
      </c>
      <c r="W162">
        <v>1162843</v>
      </c>
      <c r="X162">
        <v>272068</v>
      </c>
      <c r="Y162">
        <v>0.23400000000000001</v>
      </c>
      <c r="Z162">
        <v>3</v>
      </c>
      <c r="AA162" t="s">
        <v>146</v>
      </c>
    </row>
    <row r="163" spans="1:27" x14ac:dyDescent="0.3">
      <c r="A163">
        <v>162</v>
      </c>
      <c r="B163">
        <v>53539</v>
      </c>
      <c r="C163" s="29">
        <v>45371</v>
      </c>
      <c r="D163" t="s">
        <v>222</v>
      </c>
      <c r="E163" t="s">
        <v>96</v>
      </c>
      <c r="F163" t="s">
        <v>80</v>
      </c>
      <c r="G163" t="s">
        <v>81</v>
      </c>
      <c r="H163">
        <v>7</v>
      </c>
      <c r="I163">
        <v>78</v>
      </c>
      <c r="J163">
        <v>11.1</v>
      </c>
      <c r="K163">
        <v>0.42899999999999999</v>
      </c>
      <c r="L163">
        <v>69512</v>
      </c>
      <c r="M163">
        <v>9930</v>
      </c>
      <c r="N163">
        <v>1.538</v>
      </c>
      <c r="O163">
        <v>0.28599999999999998</v>
      </c>
      <c r="P163">
        <v>415953</v>
      </c>
      <c r="Q163">
        <v>106922</v>
      </c>
      <c r="R163">
        <v>108401.11</v>
      </c>
      <c r="S163">
        <v>245792</v>
      </c>
      <c r="T163">
        <v>0.25700000000000001</v>
      </c>
      <c r="U163">
        <v>0.98599999999999999</v>
      </c>
      <c r="V163">
        <v>3.8370000000000002</v>
      </c>
      <c r="W163">
        <v>420699</v>
      </c>
      <c r="X163">
        <v>72889</v>
      </c>
      <c r="Y163">
        <v>0.17299999999999999</v>
      </c>
      <c r="Z163">
        <v>3</v>
      </c>
      <c r="AA163" t="s">
        <v>146</v>
      </c>
    </row>
    <row r="164" spans="1:27" x14ac:dyDescent="0.3">
      <c r="A164">
        <v>163</v>
      </c>
      <c r="B164">
        <v>53551</v>
      </c>
      <c r="C164" s="29">
        <v>45372</v>
      </c>
      <c r="D164" t="s">
        <v>222</v>
      </c>
      <c r="E164" t="s">
        <v>74</v>
      </c>
      <c r="F164" t="s">
        <v>84</v>
      </c>
      <c r="G164" t="s">
        <v>79</v>
      </c>
      <c r="H164">
        <v>8</v>
      </c>
      <c r="I164">
        <v>67</v>
      </c>
      <c r="J164">
        <v>8.4</v>
      </c>
      <c r="K164">
        <v>0.25</v>
      </c>
      <c r="L164">
        <v>89006</v>
      </c>
      <c r="M164">
        <v>11126</v>
      </c>
      <c r="N164">
        <v>1.109</v>
      </c>
      <c r="O164">
        <v>0</v>
      </c>
      <c r="P164">
        <v>494173</v>
      </c>
      <c r="Q164">
        <v>98702</v>
      </c>
      <c r="R164">
        <v>115318.89</v>
      </c>
      <c r="S164">
        <v>265469</v>
      </c>
      <c r="T164">
        <v>0.2</v>
      </c>
      <c r="U164">
        <v>0.85599999999999998</v>
      </c>
      <c r="V164">
        <v>4.2850000000000001</v>
      </c>
      <c r="W164">
        <v>494616</v>
      </c>
      <c r="X164">
        <v>121381</v>
      </c>
      <c r="Y164">
        <v>0.245</v>
      </c>
      <c r="Z164">
        <v>3</v>
      </c>
      <c r="AA164" t="s">
        <v>146</v>
      </c>
    </row>
    <row r="165" spans="1:27" x14ac:dyDescent="0.3">
      <c r="A165">
        <v>164</v>
      </c>
      <c r="B165">
        <v>53541</v>
      </c>
      <c r="C165" s="29">
        <v>45373</v>
      </c>
      <c r="D165" t="s">
        <v>222</v>
      </c>
      <c r="E165" t="s">
        <v>77</v>
      </c>
      <c r="F165" t="s">
        <v>80</v>
      </c>
      <c r="G165" t="s">
        <v>81</v>
      </c>
      <c r="H165">
        <v>10</v>
      </c>
      <c r="I165">
        <v>94</v>
      </c>
      <c r="J165">
        <v>9.4</v>
      </c>
      <c r="K165">
        <v>0.4</v>
      </c>
      <c r="L165">
        <v>175898</v>
      </c>
      <c r="M165">
        <v>17590</v>
      </c>
      <c r="N165">
        <v>0.47599999999999998</v>
      </c>
      <c r="O165">
        <v>0.1</v>
      </c>
      <c r="P165">
        <v>699538</v>
      </c>
      <c r="Q165">
        <v>83652</v>
      </c>
      <c r="R165">
        <v>214587.36</v>
      </c>
      <c r="S165">
        <v>259684</v>
      </c>
      <c r="T165">
        <v>0.12</v>
      </c>
      <c r="U165">
        <v>0.39</v>
      </c>
      <c r="V165">
        <v>3.26</v>
      </c>
      <c r="W165">
        <v>663821</v>
      </c>
      <c r="X165">
        <v>38362</v>
      </c>
      <c r="Y165">
        <v>5.8000000000000003E-2</v>
      </c>
      <c r="Z165">
        <v>3</v>
      </c>
      <c r="AA165" t="s">
        <v>146</v>
      </c>
    </row>
    <row r="166" spans="1:27" x14ac:dyDescent="0.3">
      <c r="A166">
        <v>165</v>
      </c>
      <c r="B166">
        <v>53547</v>
      </c>
      <c r="C166" s="29">
        <v>45373</v>
      </c>
      <c r="D166" t="s">
        <v>222</v>
      </c>
      <c r="E166" t="s">
        <v>77</v>
      </c>
      <c r="F166" t="s">
        <v>78</v>
      </c>
      <c r="G166" t="s">
        <v>79</v>
      </c>
      <c r="H166">
        <v>10</v>
      </c>
      <c r="I166">
        <v>88</v>
      </c>
      <c r="J166">
        <v>8.8000000000000007</v>
      </c>
      <c r="K166">
        <v>0.6</v>
      </c>
      <c r="L166">
        <v>515574</v>
      </c>
      <c r="M166">
        <v>51557</v>
      </c>
      <c r="N166">
        <v>0.31900000000000001</v>
      </c>
      <c r="O166">
        <v>0.1</v>
      </c>
      <c r="P166">
        <v>881804</v>
      </c>
      <c r="Q166">
        <v>164668</v>
      </c>
      <c r="R166">
        <v>542940.29</v>
      </c>
      <c r="S166">
        <v>338807</v>
      </c>
      <c r="T166">
        <v>0.187</v>
      </c>
      <c r="U166">
        <v>0.30299999999999999</v>
      </c>
      <c r="V166">
        <v>1.6240000000000001</v>
      </c>
      <c r="W166">
        <v>915716</v>
      </c>
      <c r="X166">
        <v>63995</v>
      </c>
      <c r="Y166">
        <v>7.0000000000000007E-2</v>
      </c>
      <c r="Z166">
        <v>3</v>
      </c>
      <c r="AA166" t="s">
        <v>146</v>
      </c>
    </row>
    <row r="167" spans="1:27" x14ac:dyDescent="0.3">
      <c r="A167">
        <v>166</v>
      </c>
      <c r="B167">
        <v>53540</v>
      </c>
      <c r="C167" s="29">
        <v>45375</v>
      </c>
      <c r="D167" t="s">
        <v>222</v>
      </c>
      <c r="E167" t="s">
        <v>82</v>
      </c>
      <c r="F167" t="s">
        <v>119</v>
      </c>
      <c r="G167" t="s">
        <v>81</v>
      </c>
      <c r="H167">
        <v>11</v>
      </c>
      <c r="I167">
        <v>117</v>
      </c>
      <c r="J167">
        <v>10.6</v>
      </c>
      <c r="K167">
        <v>0.27300000000000002</v>
      </c>
      <c r="L167">
        <v>139824</v>
      </c>
      <c r="M167">
        <v>12711</v>
      </c>
      <c r="N167">
        <v>0.95299999999999996</v>
      </c>
      <c r="O167">
        <v>0.182</v>
      </c>
      <c r="P167">
        <v>845387</v>
      </c>
      <c r="Q167">
        <v>133259</v>
      </c>
      <c r="R167">
        <v>156843.29999999999</v>
      </c>
      <c r="S167">
        <v>199859</v>
      </c>
      <c r="T167">
        <v>0.158</v>
      </c>
      <c r="U167">
        <v>0.85</v>
      </c>
      <c r="V167">
        <v>5.39</v>
      </c>
      <c r="W167">
        <v>802360</v>
      </c>
      <c r="X167">
        <v>205421</v>
      </c>
      <c r="Y167">
        <v>0.25600000000000001</v>
      </c>
      <c r="Z167">
        <v>3</v>
      </c>
      <c r="AA167" t="s">
        <v>146</v>
      </c>
    </row>
    <row r="168" spans="1:27" x14ac:dyDescent="0.3">
      <c r="A168">
        <v>167</v>
      </c>
      <c r="B168">
        <v>53592</v>
      </c>
      <c r="C168" s="29">
        <v>45377</v>
      </c>
      <c r="D168" t="s">
        <v>222</v>
      </c>
      <c r="E168" t="s">
        <v>83</v>
      </c>
      <c r="F168" t="s">
        <v>101</v>
      </c>
      <c r="G168" t="s">
        <v>79</v>
      </c>
      <c r="H168">
        <v>9</v>
      </c>
      <c r="I168">
        <v>82</v>
      </c>
      <c r="J168">
        <v>9.1</v>
      </c>
      <c r="K168">
        <v>0.111</v>
      </c>
      <c r="L168">
        <v>120892</v>
      </c>
      <c r="M168">
        <v>13432</v>
      </c>
      <c r="N168">
        <v>0.39700000000000002</v>
      </c>
      <c r="O168">
        <v>0.111</v>
      </c>
      <c r="P168">
        <v>409758</v>
      </c>
      <c r="Q168">
        <v>47976</v>
      </c>
      <c r="R168">
        <v>143031.87</v>
      </c>
      <c r="S168">
        <v>217068</v>
      </c>
      <c r="T168">
        <v>0.11700000000000001</v>
      </c>
      <c r="U168">
        <v>0.33500000000000002</v>
      </c>
      <c r="V168">
        <v>2.8650000000000002</v>
      </c>
      <c r="W168">
        <v>396192</v>
      </c>
      <c r="X168">
        <v>70310</v>
      </c>
      <c r="Y168">
        <v>0.17699999999999999</v>
      </c>
      <c r="Z168">
        <v>3</v>
      </c>
      <c r="AA168" t="s">
        <v>146</v>
      </c>
    </row>
    <row r="169" spans="1:27" x14ac:dyDescent="0.3">
      <c r="A169">
        <v>168</v>
      </c>
      <c r="B169">
        <v>53560</v>
      </c>
      <c r="C169" s="29">
        <v>45378</v>
      </c>
      <c r="D169" t="s">
        <v>222</v>
      </c>
      <c r="E169" t="s">
        <v>96</v>
      </c>
      <c r="F169" t="s">
        <v>80</v>
      </c>
      <c r="G169" t="s">
        <v>81</v>
      </c>
      <c r="H169">
        <v>8</v>
      </c>
      <c r="I169">
        <v>77</v>
      </c>
      <c r="J169">
        <v>9.6</v>
      </c>
      <c r="K169">
        <v>0.25</v>
      </c>
      <c r="L169">
        <v>93175</v>
      </c>
      <c r="M169">
        <v>10381</v>
      </c>
      <c r="N169">
        <v>0.46800000000000003</v>
      </c>
      <c r="O169">
        <v>0</v>
      </c>
      <c r="P169">
        <v>553844</v>
      </c>
      <c r="Q169">
        <v>43603</v>
      </c>
      <c r="R169">
        <v>121738.61</v>
      </c>
      <c r="S169">
        <v>245044</v>
      </c>
      <c r="T169">
        <v>7.9000000000000001E-2</v>
      </c>
      <c r="U169">
        <v>0.35799999999999998</v>
      </c>
      <c r="V169">
        <v>4.5490000000000004</v>
      </c>
      <c r="W169">
        <v>0</v>
      </c>
      <c r="X169">
        <v>0</v>
      </c>
      <c r="Y169">
        <v>0</v>
      </c>
      <c r="Z169">
        <v>3</v>
      </c>
      <c r="AA169" t="s">
        <v>146</v>
      </c>
    </row>
    <row r="170" spans="1:27" x14ac:dyDescent="0.3">
      <c r="A170">
        <v>169</v>
      </c>
      <c r="B170">
        <v>53344</v>
      </c>
      <c r="C170" s="29">
        <v>45379</v>
      </c>
      <c r="D170" t="s">
        <v>222</v>
      </c>
      <c r="E170" t="s">
        <v>74</v>
      </c>
      <c r="F170" t="s">
        <v>90</v>
      </c>
      <c r="G170" t="s">
        <v>76</v>
      </c>
      <c r="H170">
        <v>11</v>
      </c>
      <c r="I170">
        <v>114</v>
      </c>
      <c r="J170">
        <v>10.4</v>
      </c>
      <c r="K170">
        <v>0.182</v>
      </c>
      <c r="L170">
        <v>212420</v>
      </c>
      <c r="M170">
        <v>18993</v>
      </c>
      <c r="N170">
        <v>0.81699999999999995</v>
      </c>
      <c r="O170">
        <v>0.182</v>
      </c>
      <c r="P170">
        <v>800739</v>
      </c>
      <c r="Q170">
        <v>173589</v>
      </c>
      <c r="R170">
        <v>244168.18</v>
      </c>
      <c r="S170">
        <v>317959</v>
      </c>
      <c r="T170">
        <v>0.217</v>
      </c>
      <c r="U170">
        <v>0.71099999999999997</v>
      </c>
      <c r="V170">
        <v>3.2789999999999999</v>
      </c>
      <c r="W170">
        <v>619567</v>
      </c>
      <c r="X170">
        <v>118506</v>
      </c>
      <c r="Y170">
        <v>0.191</v>
      </c>
      <c r="Z170">
        <v>3</v>
      </c>
      <c r="AA170" t="s">
        <v>146</v>
      </c>
    </row>
    <row r="171" spans="1:27" x14ac:dyDescent="0.3">
      <c r="A171">
        <v>170</v>
      </c>
      <c r="B171">
        <v>53592</v>
      </c>
      <c r="C171" s="29">
        <v>45379</v>
      </c>
      <c r="D171" t="s">
        <v>222</v>
      </c>
      <c r="E171" t="s">
        <v>74</v>
      </c>
      <c r="F171" t="s">
        <v>101</v>
      </c>
      <c r="G171" t="s">
        <v>79</v>
      </c>
      <c r="H171">
        <v>9</v>
      </c>
      <c r="I171">
        <v>83</v>
      </c>
      <c r="J171">
        <v>9.1999999999999993</v>
      </c>
      <c r="K171">
        <v>0.55600000000000005</v>
      </c>
      <c r="L171">
        <v>145299</v>
      </c>
      <c r="M171">
        <v>15811</v>
      </c>
      <c r="N171">
        <v>0.52700000000000002</v>
      </c>
      <c r="O171">
        <v>0.33300000000000002</v>
      </c>
      <c r="P171">
        <v>617939</v>
      </c>
      <c r="Q171">
        <v>76502</v>
      </c>
      <c r="R171">
        <v>164338.12</v>
      </c>
      <c r="S171">
        <v>349038</v>
      </c>
      <c r="T171">
        <v>0.124</v>
      </c>
      <c r="U171">
        <v>0.46600000000000003</v>
      </c>
      <c r="V171">
        <v>3.76</v>
      </c>
      <c r="W171">
        <v>409589</v>
      </c>
      <c r="X171">
        <v>26469</v>
      </c>
      <c r="Y171">
        <v>6.5000000000000002E-2</v>
      </c>
      <c r="Z171">
        <v>3</v>
      </c>
      <c r="AA171" t="s">
        <v>146</v>
      </c>
    </row>
    <row r="172" spans="1:27" x14ac:dyDescent="0.3">
      <c r="A172">
        <v>171</v>
      </c>
      <c r="B172">
        <v>53545</v>
      </c>
      <c r="C172" s="29">
        <v>45381</v>
      </c>
      <c r="D172" t="s">
        <v>222</v>
      </c>
      <c r="E172" t="s">
        <v>93</v>
      </c>
      <c r="F172" t="s">
        <v>80</v>
      </c>
      <c r="G172" t="s">
        <v>81</v>
      </c>
      <c r="H172">
        <v>11</v>
      </c>
      <c r="I172">
        <v>139</v>
      </c>
      <c r="J172">
        <v>12.6</v>
      </c>
      <c r="K172">
        <v>0.54500000000000004</v>
      </c>
      <c r="L172">
        <v>371049</v>
      </c>
      <c r="M172">
        <v>33732</v>
      </c>
      <c r="N172">
        <v>0.33500000000000002</v>
      </c>
      <c r="O172">
        <v>0.182</v>
      </c>
      <c r="P172">
        <v>1092532</v>
      </c>
      <c r="Q172">
        <v>124177</v>
      </c>
      <c r="R172">
        <v>409938.61</v>
      </c>
      <c r="S172">
        <v>216668</v>
      </c>
      <c r="T172">
        <v>0.114</v>
      </c>
      <c r="U172">
        <v>0.30299999999999999</v>
      </c>
      <c r="V172">
        <v>2.665</v>
      </c>
      <c r="W172">
        <v>1124019</v>
      </c>
      <c r="X172">
        <v>-76438</v>
      </c>
      <c r="Y172">
        <v>-6.8000000000000005E-2</v>
      </c>
      <c r="Z172">
        <v>3</v>
      </c>
      <c r="AA172" t="s">
        <v>146</v>
      </c>
    </row>
    <row r="173" spans="1:27" x14ac:dyDescent="0.3">
      <c r="A173">
        <v>172</v>
      </c>
      <c r="B173">
        <v>53559</v>
      </c>
      <c r="C173" s="29">
        <v>45383</v>
      </c>
      <c r="D173" t="s">
        <v>222</v>
      </c>
      <c r="E173" t="s">
        <v>99</v>
      </c>
      <c r="F173" t="s">
        <v>94</v>
      </c>
      <c r="G173" t="s">
        <v>81</v>
      </c>
      <c r="H173">
        <v>10</v>
      </c>
      <c r="I173">
        <v>134</v>
      </c>
      <c r="J173">
        <v>13.4</v>
      </c>
      <c r="K173">
        <v>0.4</v>
      </c>
      <c r="L173">
        <v>120369</v>
      </c>
      <c r="M173">
        <v>12037</v>
      </c>
      <c r="N173">
        <v>1.5</v>
      </c>
      <c r="O173">
        <v>0.1</v>
      </c>
      <c r="P173">
        <v>980244</v>
      </c>
      <c r="Q173">
        <v>180597</v>
      </c>
      <c r="R173">
        <v>157386.26</v>
      </c>
      <c r="S173">
        <v>192096</v>
      </c>
      <c r="T173">
        <v>0.184</v>
      </c>
      <c r="U173">
        <v>1.147</v>
      </c>
      <c r="V173">
        <v>6.2279999999999998</v>
      </c>
      <c r="W173">
        <v>1080942</v>
      </c>
      <c r="X173">
        <v>236865</v>
      </c>
      <c r="Y173">
        <v>0.219</v>
      </c>
      <c r="Z173">
        <v>4</v>
      </c>
      <c r="AA173" t="s">
        <v>146</v>
      </c>
    </row>
    <row r="174" spans="1:27" x14ac:dyDescent="0.3">
      <c r="A174">
        <v>173</v>
      </c>
      <c r="B174">
        <v>53716</v>
      </c>
      <c r="C174" s="29">
        <v>45385</v>
      </c>
      <c r="D174" t="s">
        <v>222</v>
      </c>
      <c r="E174" t="s">
        <v>96</v>
      </c>
      <c r="F174" t="s">
        <v>95</v>
      </c>
      <c r="G174" t="s">
        <v>81</v>
      </c>
      <c r="H174">
        <v>7</v>
      </c>
      <c r="I174">
        <v>60</v>
      </c>
      <c r="J174">
        <v>8.6</v>
      </c>
      <c r="K174">
        <v>0.28599999999999998</v>
      </c>
      <c r="L174">
        <v>70511</v>
      </c>
      <c r="M174">
        <v>10073</v>
      </c>
      <c r="N174">
        <v>1.6180000000000001</v>
      </c>
      <c r="O174">
        <v>0</v>
      </c>
      <c r="P174">
        <v>322219</v>
      </c>
      <c r="Q174">
        <v>114089</v>
      </c>
      <c r="R174">
        <v>89578.53</v>
      </c>
      <c r="S174">
        <v>105523</v>
      </c>
      <c r="T174">
        <v>0.35399999999999998</v>
      </c>
      <c r="U174">
        <v>1.274</v>
      </c>
      <c r="V174">
        <v>3.597</v>
      </c>
      <c r="W174">
        <v>400879</v>
      </c>
      <c r="X174">
        <v>58058</v>
      </c>
      <c r="Y174">
        <v>0.14499999999999999</v>
      </c>
      <c r="Z174">
        <v>4</v>
      </c>
      <c r="AA174" t="s">
        <v>146</v>
      </c>
    </row>
    <row r="175" spans="1:27" x14ac:dyDescent="0.3">
      <c r="A175">
        <v>174</v>
      </c>
      <c r="B175">
        <v>53554</v>
      </c>
      <c r="C175" s="29">
        <v>45386</v>
      </c>
      <c r="D175" t="s">
        <v>222</v>
      </c>
      <c r="E175" t="s">
        <v>74</v>
      </c>
      <c r="F175" t="s">
        <v>85</v>
      </c>
      <c r="G175" t="s">
        <v>76</v>
      </c>
      <c r="H175">
        <v>10</v>
      </c>
      <c r="I175">
        <v>84</v>
      </c>
      <c r="J175">
        <v>8.4</v>
      </c>
      <c r="K175">
        <v>0.4</v>
      </c>
      <c r="L175">
        <v>123336</v>
      </c>
      <c r="M175">
        <v>12084</v>
      </c>
      <c r="N175">
        <v>0.25700000000000001</v>
      </c>
      <c r="O175">
        <v>0.1</v>
      </c>
      <c r="P175">
        <v>451314</v>
      </c>
      <c r="Q175">
        <v>31731</v>
      </c>
      <c r="R175">
        <v>147913.57</v>
      </c>
      <c r="S175">
        <v>223779</v>
      </c>
      <c r="T175">
        <v>7.0000000000000007E-2</v>
      </c>
      <c r="U175">
        <v>0.215</v>
      </c>
      <c r="V175">
        <v>3.0510000000000002</v>
      </c>
      <c r="W175">
        <v>0</v>
      </c>
      <c r="X175">
        <v>0</v>
      </c>
      <c r="Y175">
        <v>0</v>
      </c>
      <c r="Z175">
        <v>4</v>
      </c>
      <c r="AA175" t="s">
        <v>146</v>
      </c>
    </row>
    <row r="176" spans="1:27" x14ac:dyDescent="0.3">
      <c r="A176">
        <v>175</v>
      </c>
      <c r="B176">
        <v>53561</v>
      </c>
      <c r="C176" s="29">
        <v>45386</v>
      </c>
      <c r="D176" t="s">
        <v>222</v>
      </c>
      <c r="E176" t="s">
        <v>74</v>
      </c>
      <c r="F176" t="s">
        <v>84</v>
      </c>
      <c r="G176" t="s">
        <v>79</v>
      </c>
      <c r="H176">
        <v>11</v>
      </c>
      <c r="I176">
        <v>102</v>
      </c>
      <c r="J176">
        <v>9.3000000000000007</v>
      </c>
      <c r="K176">
        <v>0.36399999999999999</v>
      </c>
      <c r="L176">
        <v>223369</v>
      </c>
      <c r="M176">
        <v>20306</v>
      </c>
      <c r="N176">
        <v>0.27300000000000002</v>
      </c>
      <c r="O176">
        <v>0</v>
      </c>
      <c r="P176">
        <v>758013</v>
      </c>
      <c r="Q176">
        <v>61070</v>
      </c>
      <c r="R176">
        <v>249881.39</v>
      </c>
      <c r="S176">
        <v>434470</v>
      </c>
      <c r="T176">
        <v>8.1000000000000003E-2</v>
      </c>
      <c r="U176">
        <v>0.24399999999999999</v>
      </c>
      <c r="V176">
        <v>3.0329999999999999</v>
      </c>
      <c r="W176">
        <v>889257</v>
      </c>
      <c r="X176">
        <v>183524</v>
      </c>
      <c r="Y176">
        <v>0.20599999999999999</v>
      </c>
      <c r="Z176">
        <v>4</v>
      </c>
      <c r="AA176" t="s">
        <v>146</v>
      </c>
    </row>
    <row r="177" spans="1:27" x14ac:dyDescent="0.3">
      <c r="A177">
        <v>176</v>
      </c>
      <c r="B177">
        <v>53510</v>
      </c>
      <c r="C177" s="29">
        <v>45387</v>
      </c>
      <c r="D177" t="s">
        <v>222</v>
      </c>
      <c r="E177" t="s">
        <v>77</v>
      </c>
      <c r="F177" t="s">
        <v>80</v>
      </c>
      <c r="G177" t="s">
        <v>81</v>
      </c>
      <c r="H177">
        <v>11</v>
      </c>
      <c r="I177">
        <v>131</v>
      </c>
      <c r="J177">
        <v>11.9</v>
      </c>
      <c r="K177">
        <v>0.45500000000000002</v>
      </c>
      <c r="L177">
        <v>337375</v>
      </c>
      <c r="M177">
        <v>30659</v>
      </c>
      <c r="N177">
        <v>0.753</v>
      </c>
      <c r="O177">
        <v>9.0999999999999998E-2</v>
      </c>
      <c r="P177">
        <v>1092804</v>
      </c>
      <c r="Q177">
        <v>254183</v>
      </c>
      <c r="R177">
        <v>376063.61</v>
      </c>
      <c r="S177">
        <v>379240</v>
      </c>
      <c r="T177">
        <v>0.23300000000000001</v>
      </c>
      <c r="U177">
        <v>0.67600000000000005</v>
      </c>
      <c r="V177">
        <v>2.9060000000000001</v>
      </c>
      <c r="W177">
        <v>1025728</v>
      </c>
      <c r="X177">
        <v>76059</v>
      </c>
      <c r="Y177">
        <v>7.3999999999999996E-2</v>
      </c>
      <c r="Z177">
        <v>4</v>
      </c>
      <c r="AA177" t="s">
        <v>146</v>
      </c>
    </row>
    <row r="178" spans="1:27" x14ac:dyDescent="0.3">
      <c r="A178">
        <v>177</v>
      </c>
      <c r="B178">
        <v>53543</v>
      </c>
      <c r="C178" s="29">
        <v>45389</v>
      </c>
      <c r="D178" t="s">
        <v>222</v>
      </c>
      <c r="E178" t="s">
        <v>82</v>
      </c>
      <c r="F178" t="s">
        <v>120</v>
      </c>
      <c r="G178" t="s">
        <v>81</v>
      </c>
      <c r="H178">
        <v>12</v>
      </c>
      <c r="I178">
        <v>134</v>
      </c>
      <c r="J178">
        <v>11.2</v>
      </c>
      <c r="K178">
        <v>0.5</v>
      </c>
      <c r="L178">
        <v>191944</v>
      </c>
      <c r="M178">
        <v>15995</v>
      </c>
      <c r="N178">
        <v>1.0249999999999999</v>
      </c>
      <c r="O178">
        <v>8.3000000000000004E-2</v>
      </c>
      <c r="P178">
        <v>1122441</v>
      </c>
      <c r="Q178">
        <v>196714</v>
      </c>
      <c r="R178">
        <v>209180.79999999999</v>
      </c>
      <c r="S178">
        <v>233363</v>
      </c>
      <c r="T178">
        <v>0.17499999999999999</v>
      </c>
      <c r="U178">
        <v>0.94</v>
      </c>
      <c r="V178">
        <v>5.3659999999999997</v>
      </c>
      <c r="W178">
        <v>905892</v>
      </c>
      <c r="X178">
        <v>228424</v>
      </c>
      <c r="Y178">
        <v>0.252</v>
      </c>
      <c r="Z178">
        <v>4</v>
      </c>
      <c r="AA178" t="s">
        <v>146</v>
      </c>
    </row>
    <row r="179" spans="1:27" x14ac:dyDescent="0.3">
      <c r="A179">
        <v>178</v>
      </c>
      <c r="B179">
        <v>53717</v>
      </c>
      <c r="C179" s="29">
        <v>45393</v>
      </c>
      <c r="D179" t="s">
        <v>222</v>
      </c>
      <c r="E179" t="s">
        <v>74</v>
      </c>
      <c r="F179" t="s">
        <v>80</v>
      </c>
      <c r="G179" t="s">
        <v>81</v>
      </c>
      <c r="H179">
        <v>10</v>
      </c>
      <c r="I179">
        <v>91</v>
      </c>
      <c r="J179">
        <v>9.1</v>
      </c>
      <c r="K179">
        <v>0.2</v>
      </c>
      <c r="L179">
        <v>163955</v>
      </c>
      <c r="M179">
        <v>16046</v>
      </c>
      <c r="N179">
        <v>1.2110000000000001</v>
      </c>
      <c r="O179">
        <v>0</v>
      </c>
      <c r="P179">
        <v>792470</v>
      </c>
      <c r="Q179">
        <v>198523</v>
      </c>
      <c r="R179">
        <v>199143.61</v>
      </c>
      <c r="S179">
        <v>243278</v>
      </c>
      <c r="T179">
        <v>0.251</v>
      </c>
      <c r="U179">
        <v>0.997</v>
      </c>
      <c r="V179">
        <v>3.9790000000000001</v>
      </c>
      <c r="W179">
        <v>566681</v>
      </c>
      <c r="X179">
        <v>-6397</v>
      </c>
      <c r="Y179">
        <v>-1.0999999999999999E-2</v>
      </c>
      <c r="Z179">
        <v>4</v>
      </c>
      <c r="AA179" t="s">
        <v>146</v>
      </c>
    </row>
    <row r="180" spans="1:27" x14ac:dyDescent="0.3">
      <c r="A180">
        <v>179</v>
      </c>
      <c r="B180">
        <v>53505</v>
      </c>
      <c r="C180" s="29">
        <v>45394</v>
      </c>
      <c r="D180" t="s">
        <v>222</v>
      </c>
      <c r="E180" t="s">
        <v>77</v>
      </c>
      <c r="F180" t="s">
        <v>84</v>
      </c>
      <c r="G180" t="s">
        <v>79</v>
      </c>
      <c r="H180">
        <v>9</v>
      </c>
      <c r="I180">
        <v>93</v>
      </c>
      <c r="J180">
        <v>10.3</v>
      </c>
      <c r="K180">
        <v>0.222</v>
      </c>
      <c r="L180">
        <v>1799387</v>
      </c>
      <c r="M180">
        <v>-87846</v>
      </c>
      <c r="N180">
        <v>0.26100000000000001</v>
      </c>
      <c r="O180">
        <v>0.222</v>
      </c>
      <c r="P180">
        <v>1814111</v>
      </c>
      <c r="Q180">
        <v>468794</v>
      </c>
      <c r="R180">
        <v>425600.14</v>
      </c>
      <c r="S180">
        <v>502982</v>
      </c>
      <c r="T180">
        <v>0.25800000000000001</v>
      </c>
      <c r="U180">
        <v>1.101</v>
      </c>
      <c r="V180">
        <v>4.2619999999999996</v>
      </c>
      <c r="W180">
        <v>1258355</v>
      </c>
      <c r="X180">
        <v>210870</v>
      </c>
      <c r="Y180">
        <v>0.16800000000000001</v>
      </c>
      <c r="Z180">
        <v>4</v>
      </c>
      <c r="AA180" t="s">
        <v>146</v>
      </c>
    </row>
    <row r="181" spans="1:27" x14ac:dyDescent="0.3">
      <c r="A181">
        <v>180</v>
      </c>
      <c r="B181">
        <v>53556</v>
      </c>
      <c r="C181" s="29">
        <v>45395</v>
      </c>
      <c r="D181" t="s">
        <v>222</v>
      </c>
      <c r="E181" t="s">
        <v>93</v>
      </c>
      <c r="F181" t="s">
        <v>75</v>
      </c>
      <c r="G181" t="s">
        <v>76</v>
      </c>
      <c r="H181">
        <v>12</v>
      </c>
      <c r="I181">
        <v>128</v>
      </c>
      <c r="J181">
        <v>10.7</v>
      </c>
      <c r="K181">
        <v>0.41699999999999998</v>
      </c>
      <c r="L181">
        <v>271349</v>
      </c>
      <c r="M181">
        <v>21779</v>
      </c>
      <c r="N181">
        <v>0.63100000000000001</v>
      </c>
      <c r="O181">
        <v>0.16700000000000001</v>
      </c>
      <c r="P181">
        <v>710781</v>
      </c>
      <c r="Q181">
        <v>171284</v>
      </c>
      <c r="R181">
        <v>286419.55</v>
      </c>
      <c r="S181">
        <v>241178</v>
      </c>
      <c r="T181">
        <v>0.24099999999999999</v>
      </c>
      <c r="U181">
        <v>0.59799999999999998</v>
      </c>
      <c r="V181">
        <v>2.4820000000000002</v>
      </c>
      <c r="W181">
        <v>682525</v>
      </c>
      <c r="X181">
        <v>97508</v>
      </c>
      <c r="Y181">
        <v>0.14299999999999999</v>
      </c>
      <c r="Z181">
        <v>4</v>
      </c>
      <c r="AA181" t="s">
        <v>146</v>
      </c>
    </row>
    <row r="182" spans="1:27" x14ac:dyDescent="0.3">
      <c r="A182">
        <v>181</v>
      </c>
      <c r="B182">
        <v>53718</v>
      </c>
      <c r="C182" s="29">
        <v>45396</v>
      </c>
      <c r="D182" t="s">
        <v>222</v>
      </c>
      <c r="E182" t="s">
        <v>82</v>
      </c>
      <c r="F182" t="s">
        <v>91</v>
      </c>
      <c r="G182" t="s">
        <v>81</v>
      </c>
      <c r="H182">
        <v>12</v>
      </c>
      <c r="I182">
        <v>165</v>
      </c>
      <c r="J182">
        <v>13.8</v>
      </c>
      <c r="K182">
        <v>0.33300000000000002</v>
      </c>
      <c r="L182">
        <v>173238</v>
      </c>
      <c r="M182">
        <v>14436</v>
      </c>
      <c r="N182">
        <v>1.3720000000000001</v>
      </c>
      <c r="O182">
        <v>0.16700000000000001</v>
      </c>
      <c r="P182">
        <v>1139931</v>
      </c>
      <c r="Q182">
        <v>237661</v>
      </c>
      <c r="R182">
        <v>200614.83</v>
      </c>
      <c r="S182">
        <v>261746</v>
      </c>
      <c r="T182">
        <v>0.20799999999999999</v>
      </c>
      <c r="U182">
        <v>1.1850000000000001</v>
      </c>
      <c r="V182">
        <v>5.6820000000000004</v>
      </c>
      <c r="W182">
        <v>1163702</v>
      </c>
      <c r="X182">
        <v>290343</v>
      </c>
      <c r="Y182">
        <v>0.249</v>
      </c>
      <c r="Z182">
        <v>4</v>
      </c>
      <c r="AA182" t="s">
        <v>146</v>
      </c>
    </row>
    <row r="183" spans="1:27" x14ac:dyDescent="0.3">
      <c r="A183">
        <v>182</v>
      </c>
      <c r="B183">
        <v>53721</v>
      </c>
      <c r="C183" s="29">
        <v>45400</v>
      </c>
      <c r="D183" t="s">
        <v>222</v>
      </c>
      <c r="E183" t="s">
        <v>74</v>
      </c>
      <c r="F183" t="s">
        <v>80</v>
      </c>
      <c r="G183" t="s">
        <v>81</v>
      </c>
      <c r="H183">
        <v>10</v>
      </c>
      <c r="I183">
        <v>102</v>
      </c>
      <c r="J183">
        <v>10.199999999999999</v>
      </c>
      <c r="K183">
        <v>0.2</v>
      </c>
      <c r="L183">
        <v>181396</v>
      </c>
      <c r="M183">
        <v>16840</v>
      </c>
      <c r="N183">
        <v>0.82299999999999995</v>
      </c>
      <c r="O183">
        <v>0.1</v>
      </c>
      <c r="P183">
        <v>872159</v>
      </c>
      <c r="Q183">
        <v>149378</v>
      </c>
      <c r="R183">
        <v>207184.86</v>
      </c>
      <c r="S183">
        <v>373234</v>
      </c>
      <c r="T183">
        <v>0.17100000000000001</v>
      </c>
      <c r="U183">
        <v>0.72099999999999997</v>
      </c>
      <c r="V183">
        <v>4.21</v>
      </c>
      <c r="W183">
        <v>710796</v>
      </c>
      <c r="X183">
        <v>12746</v>
      </c>
      <c r="Y183">
        <v>1.7999999999999999E-2</v>
      </c>
      <c r="Z183">
        <v>4</v>
      </c>
      <c r="AA183" t="s">
        <v>146</v>
      </c>
    </row>
    <row r="184" spans="1:27" x14ac:dyDescent="0.3">
      <c r="A184">
        <v>183</v>
      </c>
      <c r="B184">
        <v>53562</v>
      </c>
      <c r="C184" s="29">
        <v>45401</v>
      </c>
      <c r="D184" t="s">
        <v>222</v>
      </c>
      <c r="E184" t="s">
        <v>77</v>
      </c>
      <c r="F184" t="s">
        <v>78</v>
      </c>
      <c r="G184" t="s">
        <v>79</v>
      </c>
      <c r="H184">
        <v>10</v>
      </c>
      <c r="I184">
        <v>83</v>
      </c>
      <c r="J184">
        <v>8.3000000000000007</v>
      </c>
      <c r="K184">
        <v>0.4</v>
      </c>
      <c r="L184">
        <v>172543</v>
      </c>
      <c r="M184">
        <v>16579</v>
      </c>
      <c r="N184">
        <v>0.245</v>
      </c>
      <c r="O184">
        <v>0</v>
      </c>
      <c r="P184">
        <v>642397</v>
      </c>
      <c r="Q184">
        <v>42345</v>
      </c>
      <c r="R184">
        <v>193057.79</v>
      </c>
      <c r="S184">
        <v>204099</v>
      </c>
      <c r="T184">
        <v>6.6000000000000003E-2</v>
      </c>
      <c r="U184">
        <v>0.219</v>
      </c>
      <c r="V184">
        <v>3.327</v>
      </c>
      <c r="W184">
        <v>915129</v>
      </c>
      <c r="X184">
        <v>178871</v>
      </c>
      <c r="Y184">
        <v>0.19500000000000001</v>
      </c>
      <c r="Z184">
        <v>4</v>
      </c>
      <c r="AA184" t="s">
        <v>146</v>
      </c>
    </row>
    <row r="185" spans="1:27" x14ac:dyDescent="0.3">
      <c r="A185">
        <v>184</v>
      </c>
      <c r="B185">
        <v>53720</v>
      </c>
      <c r="C185" s="29">
        <v>45401</v>
      </c>
      <c r="D185" t="s">
        <v>222</v>
      </c>
      <c r="E185" t="s">
        <v>77</v>
      </c>
      <c r="F185" t="s">
        <v>86</v>
      </c>
      <c r="G185" t="s">
        <v>81</v>
      </c>
      <c r="H185">
        <v>11</v>
      </c>
      <c r="I185">
        <v>123</v>
      </c>
      <c r="J185">
        <v>11.2</v>
      </c>
      <c r="K185">
        <v>0.27300000000000002</v>
      </c>
      <c r="L185">
        <v>127568</v>
      </c>
      <c r="M185">
        <v>11597</v>
      </c>
      <c r="N185">
        <v>0.47099999999999997</v>
      </c>
      <c r="O185">
        <v>0.27300000000000002</v>
      </c>
      <c r="P185">
        <v>673931</v>
      </c>
      <c r="Q185">
        <v>60134</v>
      </c>
      <c r="R185">
        <v>157540.25</v>
      </c>
      <c r="S185">
        <v>269117</v>
      </c>
      <c r="T185">
        <v>8.8999999999999996E-2</v>
      </c>
      <c r="U185">
        <v>0.38200000000000001</v>
      </c>
      <c r="V185">
        <v>4.2779999999999996</v>
      </c>
      <c r="W185">
        <v>718776</v>
      </c>
      <c r="X185">
        <v>255853</v>
      </c>
      <c r="Y185">
        <v>0.35599999999999998</v>
      </c>
      <c r="Z185">
        <v>4</v>
      </c>
      <c r="AA185" t="s">
        <v>146</v>
      </c>
    </row>
    <row r="186" spans="1:27" x14ac:dyDescent="0.3">
      <c r="A186">
        <v>185</v>
      </c>
      <c r="B186">
        <v>53557</v>
      </c>
      <c r="C186" s="29">
        <v>45403</v>
      </c>
      <c r="D186" t="s">
        <v>222</v>
      </c>
      <c r="E186" t="s">
        <v>82</v>
      </c>
      <c r="F186" t="s">
        <v>85</v>
      </c>
      <c r="G186" t="s">
        <v>76</v>
      </c>
      <c r="H186">
        <v>10</v>
      </c>
      <c r="I186">
        <v>97</v>
      </c>
      <c r="J186">
        <v>9.6999999999999993</v>
      </c>
      <c r="K186">
        <v>0.4</v>
      </c>
      <c r="L186">
        <v>351543</v>
      </c>
      <c r="M186">
        <v>35154</v>
      </c>
      <c r="N186">
        <v>0.109</v>
      </c>
      <c r="O186">
        <v>0</v>
      </c>
      <c r="P186">
        <v>1054204</v>
      </c>
      <c r="Q186">
        <v>38199</v>
      </c>
      <c r="R186">
        <v>378882.32</v>
      </c>
      <c r="S186">
        <v>106867</v>
      </c>
      <c r="T186">
        <v>3.5999999999999997E-2</v>
      </c>
      <c r="U186">
        <v>0.10100000000000001</v>
      </c>
      <c r="V186">
        <v>2.782</v>
      </c>
      <c r="W186">
        <v>1114872</v>
      </c>
      <c r="X186">
        <v>146291</v>
      </c>
      <c r="Y186">
        <v>0.13100000000000001</v>
      </c>
      <c r="Z186">
        <v>4</v>
      </c>
      <c r="AA186" t="s">
        <v>146</v>
      </c>
    </row>
    <row r="187" spans="1:27" x14ac:dyDescent="0.3">
      <c r="A187">
        <v>186</v>
      </c>
      <c r="B187">
        <v>53563</v>
      </c>
      <c r="C187" s="29">
        <v>45407</v>
      </c>
      <c r="D187" t="s">
        <v>222</v>
      </c>
      <c r="E187" t="s">
        <v>74</v>
      </c>
      <c r="F187" t="s">
        <v>84</v>
      </c>
      <c r="G187" t="s">
        <v>79</v>
      </c>
      <c r="H187">
        <v>9</v>
      </c>
      <c r="I187">
        <v>89</v>
      </c>
      <c r="J187">
        <v>9.9</v>
      </c>
      <c r="K187">
        <v>0.33300000000000002</v>
      </c>
      <c r="L187">
        <v>92113</v>
      </c>
      <c r="M187">
        <v>10235</v>
      </c>
      <c r="N187">
        <v>0.20699999999999999</v>
      </c>
      <c r="O187">
        <v>0.111</v>
      </c>
      <c r="P187">
        <v>431144</v>
      </c>
      <c r="Q187">
        <v>19069</v>
      </c>
      <c r="R187">
        <v>118326.39</v>
      </c>
      <c r="S187">
        <v>123208</v>
      </c>
      <c r="T187">
        <v>4.3999999999999997E-2</v>
      </c>
      <c r="U187">
        <v>0.161</v>
      </c>
      <c r="V187">
        <v>3.6440000000000001</v>
      </c>
      <c r="W187">
        <v>506791</v>
      </c>
      <c r="X187">
        <v>66152</v>
      </c>
      <c r="Y187">
        <v>0.13100000000000001</v>
      </c>
      <c r="Z187">
        <v>4</v>
      </c>
      <c r="AA187" t="s">
        <v>146</v>
      </c>
    </row>
    <row r="188" spans="1:27" x14ac:dyDescent="0.3">
      <c r="A188">
        <v>187</v>
      </c>
      <c r="B188">
        <v>53586</v>
      </c>
      <c r="C188" s="29">
        <v>45408</v>
      </c>
      <c r="D188" t="s">
        <v>222</v>
      </c>
      <c r="E188" t="s">
        <v>77</v>
      </c>
      <c r="F188" t="s">
        <v>78</v>
      </c>
      <c r="G188" t="s">
        <v>79</v>
      </c>
      <c r="H188">
        <v>10</v>
      </c>
      <c r="I188">
        <v>78</v>
      </c>
      <c r="J188">
        <v>7.8</v>
      </c>
      <c r="K188">
        <v>0.7</v>
      </c>
      <c r="L188">
        <v>419056</v>
      </c>
      <c r="M188">
        <v>36106</v>
      </c>
      <c r="N188">
        <v>0.21199999999999999</v>
      </c>
      <c r="O188">
        <v>0.1</v>
      </c>
      <c r="P188">
        <v>883080</v>
      </c>
      <c r="Q188">
        <v>89003</v>
      </c>
      <c r="R188">
        <v>388321.29</v>
      </c>
      <c r="S188">
        <v>414890</v>
      </c>
      <c r="T188">
        <v>0.10100000000000001</v>
      </c>
      <c r="U188">
        <v>0.22900000000000001</v>
      </c>
      <c r="V188">
        <v>2.274</v>
      </c>
      <c r="W188">
        <v>776784</v>
      </c>
      <c r="X188">
        <v>116799</v>
      </c>
      <c r="Y188">
        <v>0.15</v>
      </c>
      <c r="Z188">
        <v>4</v>
      </c>
      <c r="AA188" t="s">
        <v>146</v>
      </c>
    </row>
    <row r="189" spans="1:27" x14ac:dyDescent="0.3">
      <c r="A189">
        <v>188</v>
      </c>
      <c r="B189">
        <v>53749</v>
      </c>
      <c r="C189" s="29">
        <v>45408</v>
      </c>
      <c r="D189" t="s">
        <v>222</v>
      </c>
      <c r="E189" t="s">
        <v>77</v>
      </c>
      <c r="F189" t="s">
        <v>80</v>
      </c>
      <c r="G189" t="s">
        <v>81</v>
      </c>
      <c r="H189">
        <v>11</v>
      </c>
      <c r="I189">
        <v>107</v>
      </c>
      <c r="J189">
        <v>9.6999999999999993</v>
      </c>
      <c r="K189">
        <v>0.54500000000000004</v>
      </c>
      <c r="L189">
        <v>191852</v>
      </c>
      <c r="M189">
        <v>17441</v>
      </c>
      <c r="N189">
        <v>0.33900000000000002</v>
      </c>
      <c r="O189">
        <v>0.182</v>
      </c>
      <c r="P189">
        <v>839523</v>
      </c>
      <c r="Q189">
        <v>65124</v>
      </c>
      <c r="R189">
        <v>231038.61</v>
      </c>
      <c r="S189">
        <v>343168</v>
      </c>
      <c r="T189">
        <v>7.8E-2</v>
      </c>
      <c r="U189">
        <v>0.28199999999999997</v>
      </c>
      <c r="V189">
        <v>3.6339999999999999</v>
      </c>
      <c r="W189">
        <v>609288</v>
      </c>
      <c r="X189">
        <v>111827</v>
      </c>
      <c r="Y189">
        <v>0.184</v>
      </c>
      <c r="Z189">
        <v>4</v>
      </c>
      <c r="AA189" t="s">
        <v>146</v>
      </c>
    </row>
    <row r="190" spans="1:27" x14ac:dyDescent="0.3">
      <c r="A190">
        <v>189</v>
      </c>
      <c r="B190">
        <v>53588</v>
      </c>
      <c r="C190" s="29">
        <v>45409</v>
      </c>
      <c r="D190" t="s">
        <v>222</v>
      </c>
      <c r="E190" t="s">
        <v>93</v>
      </c>
      <c r="F190" t="s">
        <v>118</v>
      </c>
      <c r="G190" t="s">
        <v>76</v>
      </c>
      <c r="H190">
        <v>9</v>
      </c>
      <c r="I190">
        <v>93</v>
      </c>
      <c r="J190">
        <v>10.3</v>
      </c>
      <c r="K190">
        <v>0.33300000000000002</v>
      </c>
      <c r="L190">
        <v>110622</v>
      </c>
      <c r="M190">
        <v>12069</v>
      </c>
      <c r="N190">
        <v>0.55700000000000005</v>
      </c>
      <c r="O190">
        <v>0.111</v>
      </c>
      <c r="P190">
        <v>454143</v>
      </c>
      <c r="Q190">
        <v>61626</v>
      </c>
      <c r="R190">
        <v>125740.8</v>
      </c>
      <c r="S190">
        <v>132912</v>
      </c>
      <c r="T190">
        <v>0.13600000000000001</v>
      </c>
      <c r="U190">
        <v>0.49</v>
      </c>
      <c r="V190">
        <v>3.6120000000000001</v>
      </c>
      <c r="W190">
        <v>0</v>
      </c>
      <c r="X190">
        <v>0</v>
      </c>
      <c r="Y190">
        <v>0</v>
      </c>
      <c r="Z190">
        <v>4</v>
      </c>
      <c r="AA190" t="s">
        <v>146</v>
      </c>
    </row>
    <row r="191" spans="1:27" x14ac:dyDescent="0.3">
      <c r="A191">
        <v>190</v>
      </c>
      <c r="B191">
        <v>53750</v>
      </c>
      <c r="C191" s="29">
        <v>45410</v>
      </c>
      <c r="D191" t="s">
        <v>222</v>
      </c>
      <c r="E191" t="s">
        <v>82</v>
      </c>
      <c r="F191" t="s">
        <v>89</v>
      </c>
      <c r="G191" t="s">
        <v>81</v>
      </c>
      <c r="H191">
        <v>11</v>
      </c>
      <c r="I191">
        <v>137</v>
      </c>
      <c r="J191">
        <v>12.5</v>
      </c>
      <c r="K191">
        <v>0.182</v>
      </c>
      <c r="L191">
        <v>155255</v>
      </c>
      <c r="M191">
        <v>14114</v>
      </c>
      <c r="N191">
        <v>1.129</v>
      </c>
      <c r="O191">
        <v>0.182</v>
      </c>
      <c r="P191">
        <v>913672</v>
      </c>
      <c r="Q191">
        <v>175269</v>
      </c>
      <c r="R191">
        <v>184826.5</v>
      </c>
      <c r="S191">
        <v>95899</v>
      </c>
      <c r="T191">
        <v>0.192</v>
      </c>
      <c r="U191">
        <v>0.94799999999999995</v>
      </c>
      <c r="V191">
        <v>4.9429999999999996</v>
      </c>
      <c r="W191">
        <v>841715</v>
      </c>
      <c r="X191">
        <v>77877</v>
      </c>
      <c r="Y191">
        <v>9.2999999999999999E-2</v>
      </c>
      <c r="Z191">
        <v>4</v>
      </c>
      <c r="AA191" t="s">
        <v>146</v>
      </c>
    </row>
    <row r="192" spans="1:27" x14ac:dyDescent="0.3">
      <c r="A192">
        <v>191</v>
      </c>
      <c r="B192">
        <v>54032</v>
      </c>
      <c r="C192" s="29">
        <v>45413</v>
      </c>
      <c r="D192" t="s">
        <v>222</v>
      </c>
      <c r="E192" t="s">
        <v>96</v>
      </c>
      <c r="F192" t="s">
        <v>80</v>
      </c>
      <c r="G192" t="s">
        <v>81</v>
      </c>
      <c r="H192">
        <v>8</v>
      </c>
      <c r="I192">
        <v>81</v>
      </c>
      <c r="J192">
        <v>10.1</v>
      </c>
      <c r="K192">
        <v>0.125</v>
      </c>
      <c r="L192">
        <v>83270</v>
      </c>
      <c r="M192">
        <v>10409</v>
      </c>
      <c r="N192">
        <v>1.5149999999999999</v>
      </c>
      <c r="O192">
        <v>0.125</v>
      </c>
      <c r="P192">
        <v>437409</v>
      </c>
      <c r="Q192">
        <v>126125</v>
      </c>
      <c r="R192">
        <v>121958.61</v>
      </c>
      <c r="S192">
        <v>296368</v>
      </c>
      <c r="T192">
        <v>0.28799999999999998</v>
      </c>
      <c r="U192">
        <v>1.034</v>
      </c>
      <c r="V192">
        <v>3.5870000000000002</v>
      </c>
      <c r="W192">
        <v>0</v>
      </c>
      <c r="X192">
        <v>0</v>
      </c>
      <c r="Y192">
        <v>0</v>
      </c>
      <c r="Z192">
        <v>5</v>
      </c>
      <c r="AA192" t="s">
        <v>147</v>
      </c>
    </row>
    <row r="193" spans="1:27" x14ac:dyDescent="0.3">
      <c r="A193">
        <v>192</v>
      </c>
      <c r="B193">
        <v>53589</v>
      </c>
      <c r="C193" s="29">
        <v>45415</v>
      </c>
      <c r="D193" t="s">
        <v>222</v>
      </c>
      <c r="E193" t="s">
        <v>77</v>
      </c>
      <c r="F193" t="s">
        <v>78</v>
      </c>
      <c r="G193" t="s">
        <v>79</v>
      </c>
      <c r="H193">
        <v>10</v>
      </c>
      <c r="I193">
        <v>87</v>
      </c>
      <c r="J193">
        <v>8.6999999999999993</v>
      </c>
      <c r="K193">
        <v>0.4</v>
      </c>
      <c r="L193">
        <v>485173</v>
      </c>
      <c r="M193">
        <v>48517</v>
      </c>
      <c r="N193">
        <v>0.45100000000000001</v>
      </c>
      <c r="O193">
        <v>0</v>
      </c>
      <c r="P193">
        <v>722997</v>
      </c>
      <c r="Q193">
        <v>218900</v>
      </c>
      <c r="R193">
        <v>512440.29</v>
      </c>
      <c r="S193">
        <v>377608</v>
      </c>
      <c r="T193">
        <v>0.30299999999999999</v>
      </c>
      <c r="U193">
        <v>0.42699999999999999</v>
      </c>
      <c r="V193">
        <v>1.411</v>
      </c>
      <c r="W193">
        <v>629661</v>
      </c>
      <c r="X193">
        <v>183110</v>
      </c>
      <c r="Y193">
        <v>0.29099999999999998</v>
      </c>
      <c r="Z193">
        <v>5</v>
      </c>
      <c r="AA193" t="s">
        <v>147</v>
      </c>
    </row>
    <row r="194" spans="1:27" x14ac:dyDescent="0.3">
      <c r="A194">
        <v>193</v>
      </c>
      <c r="B194">
        <v>53751</v>
      </c>
      <c r="C194" s="29">
        <v>45415</v>
      </c>
      <c r="D194" t="s">
        <v>222</v>
      </c>
      <c r="E194" t="s">
        <v>77</v>
      </c>
      <c r="F194" t="s">
        <v>80</v>
      </c>
      <c r="G194" t="s">
        <v>81</v>
      </c>
      <c r="H194">
        <v>10</v>
      </c>
      <c r="I194">
        <v>95</v>
      </c>
      <c r="J194">
        <v>9.5</v>
      </c>
      <c r="K194">
        <v>0.6</v>
      </c>
      <c r="L194">
        <v>237597</v>
      </c>
      <c r="M194">
        <v>19497</v>
      </c>
      <c r="N194">
        <v>0.38900000000000001</v>
      </c>
      <c r="O194">
        <v>0</v>
      </c>
      <c r="P194">
        <v>631767</v>
      </c>
      <c r="Q194">
        <v>92450</v>
      </c>
      <c r="R194">
        <v>234123.61</v>
      </c>
      <c r="S194">
        <v>332905</v>
      </c>
      <c r="T194">
        <v>0.14599999999999999</v>
      </c>
      <c r="U194">
        <v>0.39500000000000002</v>
      </c>
      <c r="V194">
        <v>2.698</v>
      </c>
      <c r="W194">
        <v>1159683</v>
      </c>
      <c r="X194">
        <v>189028</v>
      </c>
      <c r="Y194">
        <v>0.16300000000000001</v>
      </c>
      <c r="Z194">
        <v>5</v>
      </c>
      <c r="AA194" t="s">
        <v>147</v>
      </c>
    </row>
    <row r="195" spans="1:27" x14ac:dyDescent="0.3">
      <c r="A195">
        <v>194</v>
      </c>
      <c r="B195">
        <v>53737</v>
      </c>
      <c r="C195" s="29">
        <v>45416</v>
      </c>
      <c r="D195" t="s">
        <v>222</v>
      </c>
      <c r="E195" t="s">
        <v>93</v>
      </c>
      <c r="F195" t="s">
        <v>113</v>
      </c>
      <c r="G195" t="s">
        <v>76</v>
      </c>
      <c r="H195">
        <v>10</v>
      </c>
      <c r="I195">
        <v>92</v>
      </c>
      <c r="J195">
        <v>9.1999999999999993</v>
      </c>
      <c r="K195">
        <v>0.2</v>
      </c>
      <c r="L195">
        <v>116962</v>
      </c>
      <c r="M195">
        <v>11646</v>
      </c>
      <c r="N195">
        <v>0.88300000000000001</v>
      </c>
      <c r="O195">
        <v>0.1</v>
      </c>
      <c r="P195">
        <v>345900</v>
      </c>
      <c r="Q195">
        <v>103243</v>
      </c>
      <c r="R195">
        <v>133580.79999999999</v>
      </c>
      <c r="S195">
        <v>169613</v>
      </c>
      <c r="T195">
        <v>0.29799999999999999</v>
      </c>
      <c r="U195">
        <v>0.77300000000000002</v>
      </c>
      <c r="V195">
        <v>2.589</v>
      </c>
      <c r="W195">
        <v>0</v>
      </c>
      <c r="X195">
        <v>0</v>
      </c>
      <c r="Y195">
        <v>0</v>
      </c>
      <c r="Z195">
        <v>5</v>
      </c>
      <c r="AA195" t="s">
        <v>147</v>
      </c>
    </row>
    <row r="196" spans="1:27" x14ac:dyDescent="0.3">
      <c r="A196">
        <v>195</v>
      </c>
      <c r="B196">
        <v>53753</v>
      </c>
      <c r="C196" s="29">
        <v>45417</v>
      </c>
      <c r="D196" t="s">
        <v>222</v>
      </c>
      <c r="E196" t="s">
        <v>82</v>
      </c>
      <c r="F196" t="s">
        <v>89</v>
      </c>
      <c r="G196" t="s">
        <v>81</v>
      </c>
      <c r="H196">
        <v>10</v>
      </c>
      <c r="I196">
        <v>103</v>
      </c>
      <c r="J196">
        <v>10.3</v>
      </c>
      <c r="K196">
        <v>0.3</v>
      </c>
      <c r="L196">
        <v>116598</v>
      </c>
      <c r="M196">
        <v>11660</v>
      </c>
      <c r="N196">
        <v>1.1180000000000001</v>
      </c>
      <c r="O196">
        <v>0</v>
      </c>
      <c r="P196">
        <v>681161</v>
      </c>
      <c r="Q196">
        <v>130350</v>
      </c>
      <c r="R196">
        <v>146270.25</v>
      </c>
      <c r="S196">
        <v>176927</v>
      </c>
      <c r="T196">
        <v>0.191</v>
      </c>
      <c r="U196">
        <v>0.89100000000000001</v>
      </c>
      <c r="V196">
        <v>4.657</v>
      </c>
      <c r="W196">
        <v>828019</v>
      </c>
      <c r="X196">
        <v>213221</v>
      </c>
      <c r="Y196">
        <v>0.25800000000000001</v>
      </c>
      <c r="Z196">
        <v>5</v>
      </c>
      <c r="AA196" t="s">
        <v>147</v>
      </c>
    </row>
    <row r="197" spans="1:27" x14ac:dyDescent="0.3">
      <c r="A197">
        <v>196</v>
      </c>
      <c r="B197">
        <v>54083</v>
      </c>
      <c r="C197" s="29">
        <v>45420</v>
      </c>
      <c r="D197" t="s">
        <v>222</v>
      </c>
      <c r="E197" t="s">
        <v>96</v>
      </c>
      <c r="F197" t="s">
        <v>80</v>
      </c>
      <c r="G197" t="s">
        <v>81</v>
      </c>
      <c r="H197">
        <v>7</v>
      </c>
      <c r="I197">
        <v>78</v>
      </c>
      <c r="J197">
        <v>11.1</v>
      </c>
      <c r="K197">
        <v>0.42899999999999999</v>
      </c>
      <c r="L197">
        <v>77319</v>
      </c>
      <c r="M197">
        <v>11046</v>
      </c>
      <c r="N197">
        <v>0.93600000000000005</v>
      </c>
      <c r="O197">
        <v>0</v>
      </c>
      <c r="P197">
        <v>377700</v>
      </c>
      <c r="Q197">
        <v>72338</v>
      </c>
      <c r="R197">
        <v>116007.36</v>
      </c>
      <c r="S197">
        <v>237248</v>
      </c>
      <c r="T197">
        <v>0.192</v>
      </c>
      <c r="U197">
        <v>0.624</v>
      </c>
      <c r="V197">
        <v>3.2559999999999998</v>
      </c>
      <c r="W197">
        <v>0</v>
      </c>
      <c r="X197">
        <v>0</v>
      </c>
      <c r="Y197">
        <v>0</v>
      </c>
      <c r="Z197">
        <v>5</v>
      </c>
      <c r="AA197" t="s">
        <v>147</v>
      </c>
    </row>
    <row r="198" spans="1:27" x14ac:dyDescent="0.3">
      <c r="A198">
        <v>197</v>
      </c>
      <c r="B198">
        <v>53594</v>
      </c>
      <c r="C198" s="29">
        <v>45421</v>
      </c>
      <c r="D198" t="s">
        <v>222</v>
      </c>
      <c r="E198" t="s">
        <v>74</v>
      </c>
      <c r="F198" t="s">
        <v>84</v>
      </c>
      <c r="G198" t="s">
        <v>79</v>
      </c>
      <c r="H198">
        <v>9</v>
      </c>
      <c r="I198">
        <v>77</v>
      </c>
      <c r="J198">
        <v>8.6</v>
      </c>
      <c r="K198">
        <v>0.33300000000000002</v>
      </c>
      <c r="L198">
        <v>100481</v>
      </c>
      <c r="M198">
        <v>11165</v>
      </c>
      <c r="N198">
        <v>1.819</v>
      </c>
      <c r="O198">
        <v>0.33300000000000002</v>
      </c>
      <c r="P198">
        <v>563068</v>
      </c>
      <c r="Q198">
        <v>182762</v>
      </c>
      <c r="R198">
        <v>126893.89</v>
      </c>
      <c r="S198">
        <v>326529</v>
      </c>
      <c r="T198">
        <v>0.32500000000000001</v>
      </c>
      <c r="U198">
        <v>1.44</v>
      </c>
      <c r="V198">
        <v>4.4370000000000003</v>
      </c>
      <c r="W198">
        <v>582905</v>
      </c>
      <c r="X198">
        <v>32796</v>
      </c>
      <c r="Y198">
        <v>5.6000000000000001E-2</v>
      </c>
      <c r="Z198">
        <v>5</v>
      </c>
      <c r="AA198" t="s">
        <v>147</v>
      </c>
    </row>
    <row r="199" spans="1:27" x14ac:dyDescent="0.3">
      <c r="A199">
        <v>198</v>
      </c>
      <c r="B199">
        <v>53755</v>
      </c>
      <c r="C199" s="29">
        <v>45422</v>
      </c>
      <c r="D199" t="s">
        <v>222</v>
      </c>
      <c r="E199" t="s">
        <v>77</v>
      </c>
      <c r="F199" t="s">
        <v>80</v>
      </c>
      <c r="G199" t="s">
        <v>81</v>
      </c>
      <c r="H199">
        <v>10</v>
      </c>
      <c r="I199">
        <v>111</v>
      </c>
      <c r="J199">
        <v>11.1</v>
      </c>
      <c r="K199">
        <v>0.2</v>
      </c>
      <c r="L199">
        <v>516763</v>
      </c>
      <c r="M199">
        <v>46306</v>
      </c>
      <c r="N199">
        <v>0.46500000000000002</v>
      </c>
      <c r="O199">
        <v>0.2</v>
      </c>
      <c r="P199">
        <v>1130100</v>
      </c>
      <c r="Q199">
        <v>240184</v>
      </c>
      <c r="R199">
        <v>501951.11</v>
      </c>
      <c r="S199">
        <v>350438</v>
      </c>
      <c r="T199">
        <v>0.21299999999999999</v>
      </c>
      <c r="U199">
        <v>0.47899999999999998</v>
      </c>
      <c r="V199">
        <v>2.2509999999999999</v>
      </c>
      <c r="W199">
        <v>1273508</v>
      </c>
      <c r="X199">
        <v>342431</v>
      </c>
      <c r="Y199">
        <v>0.26900000000000002</v>
      </c>
      <c r="Z199">
        <v>5</v>
      </c>
      <c r="AA199" t="s">
        <v>147</v>
      </c>
    </row>
    <row r="200" spans="1:27" x14ac:dyDescent="0.3">
      <c r="A200">
        <v>199</v>
      </c>
      <c r="B200">
        <v>53747</v>
      </c>
      <c r="C200" s="29">
        <v>45423</v>
      </c>
      <c r="D200" t="s">
        <v>222</v>
      </c>
      <c r="E200" t="s">
        <v>93</v>
      </c>
      <c r="F200" t="s">
        <v>75</v>
      </c>
      <c r="G200" t="s">
        <v>76</v>
      </c>
      <c r="H200">
        <v>10</v>
      </c>
      <c r="I200">
        <v>98</v>
      </c>
      <c r="J200">
        <v>9.8000000000000007</v>
      </c>
      <c r="K200">
        <v>0.3</v>
      </c>
      <c r="L200">
        <v>110800</v>
      </c>
      <c r="M200">
        <v>11080</v>
      </c>
      <c r="N200">
        <v>0.86199999999999999</v>
      </c>
      <c r="O200">
        <v>0.1</v>
      </c>
      <c r="P200">
        <v>414968</v>
      </c>
      <c r="Q200">
        <v>95486</v>
      </c>
      <c r="R200">
        <v>135869.54999999999</v>
      </c>
      <c r="S200">
        <v>166266</v>
      </c>
      <c r="T200">
        <v>0.23</v>
      </c>
      <c r="U200">
        <v>0.70299999999999996</v>
      </c>
      <c r="V200">
        <v>3.0539999999999998</v>
      </c>
      <c r="W200">
        <v>417617</v>
      </c>
      <c r="X200">
        <v>62714</v>
      </c>
      <c r="Y200">
        <v>0.15</v>
      </c>
      <c r="Z200">
        <v>5</v>
      </c>
      <c r="AA200" t="s">
        <v>147</v>
      </c>
    </row>
    <row r="201" spans="1:27" x14ac:dyDescent="0.3">
      <c r="A201">
        <v>200</v>
      </c>
      <c r="B201">
        <v>54120</v>
      </c>
      <c r="C201" s="29">
        <v>45424</v>
      </c>
      <c r="D201" t="s">
        <v>222</v>
      </c>
      <c r="E201" t="s">
        <v>82</v>
      </c>
      <c r="F201" t="s">
        <v>86</v>
      </c>
      <c r="G201" t="s">
        <v>81</v>
      </c>
      <c r="H201">
        <v>10</v>
      </c>
      <c r="I201">
        <v>100</v>
      </c>
      <c r="J201">
        <v>10</v>
      </c>
      <c r="K201">
        <v>0.2</v>
      </c>
      <c r="L201">
        <v>113439</v>
      </c>
      <c r="M201">
        <v>11344</v>
      </c>
      <c r="N201">
        <v>0.76</v>
      </c>
      <c r="O201">
        <v>0.1</v>
      </c>
      <c r="P201">
        <v>707967</v>
      </c>
      <c r="Q201">
        <v>86157</v>
      </c>
      <c r="R201">
        <v>143014</v>
      </c>
      <c r="S201">
        <v>77448</v>
      </c>
      <c r="T201">
        <v>0.122</v>
      </c>
      <c r="U201">
        <v>0.60199999999999998</v>
      </c>
      <c r="V201">
        <v>4.95</v>
      </c>
      <c r="W201">
        <v>676940</v>
      </c>
      <c r="X201">
        <v>93712</v>
      </c>
      <c r="Y201">
        <v>0.13800000000000001</v>
      </c>
      <c r="Z201">
        <v>5</v>
      </c>
      <c r="AA201" t="s">
        <v>147</v>
      </c>
    </row>
    <row r="202" spans="1:27" x14ac:dyDescent="0.3">
      <c r="A202">
        <v>201</v>
      </c>
      <c r="B202">
        <v>54122</v>
      </c>
      <c r="C202" s="29">
        <v>45427</v>
      </c>
      <c r="D202" t="s">
        <v>222</v>
      </c>
      <c r="E202" t="s">
        <v>96</v>
      </c>
      <c r="F202" t="s">
        <v>80</v>
      </c>
      <c r="G202" t="s">
        <v>81</v>
      </c>
      <c r="H202">
        <v>7</v>
      </c>
      <c r="I202">
        <v>70</v>
      </c>
      <c r="J202">
        <v>10</v>
      </c>
      <c r="K202">
        <v>0.85699999999999998</v>
      </c>
      <c r="L202">
        <v>72024</v>
      </c>
      <c r="M202">
        <v>10289</v>
      </c>
      <c r="N202">
        <v>-1.5549999999999999</v>
      </c>
      <c r="O202">
        <v>0.42899999999999999</v>
      </c>
      <c r="P202">
        <v>409808</v>
      </c>
      <c r="Q202">
        <v>-111999</v>
      </c>
      <c r="R202">
        <v>110812.36</v>
      </c>
      <c r="S202">
        <v>221478</v>
      </c>
      <c r="T202">
        <v>-0.27300000000000002</v>
      </c>
      <c r="U202">
        <v>-1.0109999999999999</v>
      </c>
      <c r="V202">
        <v>3.698</v>
      </c>
      <c r="W202">
        <v>0</v>
      </c>
      <c r="X202">
        <v>0</v>
      </c>
      <c r="Y202">
        <v>0</v>
      </c>
      <c r="Z202">
        <v>5</v>
      </c>
      <c r="AA202" t="s">
        <v>147</v>
      </c>
    </row>
    <row r="203" spans="1:27" x14ac:dyDescent="0.3">
      <c r="A203">
        <v>202</v>
      </c>
      <c r="B203">
        <v>53740</v>
      </c>
      <c r="C203" s="29">
        <v>45428</v>
      </c>
      <c r="D203" t="s">
        <v>222</v>
      </c>
      <c r="E203" t="s">
        <v>74</v>
      </c>
      <c r="F203" t="s">
        <v>84</v>
      </c>
      <c r="G203" t="s">
        <v>79</v>
      </c>
      <c r="H203">
        <v>7</v>
      </c>
      <c r="I203">
        <v>62</v>
      </c>
      <c r="J203">
        <v>8.9</v>
      </c>
      <c r="K203">
        <v>0.14299999999999999</v>
      </c>
      <c r="L203">
        <v>68456</v>
      </c>
      <c r="M203">
        <v>9779</v>
      </c>
      <c r="N203">
        <v>1.825</v>
      </c>
      <c r="O203">
        <v>0.28599999999999998</v>
      </c>
      <c r="P203">
        <v>361613</v>
      </c>
      <c r="Q203">
        <v>124949</v>
      </c>
      <c r="R203">
        <v>94670.14</v>
      </c>
      <c r="S203">
        <v>191534</v>
      </c>
      <c r="T203">
        <v>0.34599999999999997</v>
      </c>
      <c r="U203">
        <v>1.32</v>
      </c>
      <c r="V203">
        <v>3.82</v>
      </c>
      <c r="W203">
        <v>563660</v>
      </c>
      <c r="X203">
        <v>105778</v>
      </c>
      <c r="Y203">
        <v>0.188</v>
      </c>
      <c r="Z203">
        <v>5</v>
      </c>
      <c r="AA203" t="s">
        <v>147</v>
      </c>
    </row>
    <row r="204" spans="1:27" x14ac:dyDescent="0.3">
      <c r="A204">
        <v>203</v>
      </c>
      <c r="B204">
        <v>53741</v>
      </c>
      <c r="C204" s="29">
        <v>45429</v>
      </c>
      <c r="D204" t="s">
        <v>222</v>
      </c>
      <c r="E204" t="s">
        <v>77</v>
      </c>
      <c r="F204" t="s">
        <v>78</v>
      </c>
      <c r="G204" t="s">
        <v>79</v>
      </c>
      <c r="H204">
        <v>10</v>
      </c>
      <c r="I204">
        <v>93</v>
      </c>
      <c r="J204">
        <v>9.3000000000000007</v>
      </c>
      <c r="K204">
        <v>0.6</v>
      </c>
      <c r="L204">
        <v>477139</v>
      </c>
      <c r="M204">
        <v>42200</v>
      </c>
      <c r="N204">
        <v>0.158</v>
      </c>
      <c r="O204">
        <v>0</v>
      </c>
      <c r="P204">
        <v>785952</v>
      </c>
      <c r="Q204">
        <v>75230</v>
      </c>
      <c r="R204">
        <v>449264.29</v>
      </c>
      <c r="S204">
        <v>224584</v>
      </c>
      <c r="T204">
        <v>9.6000000000000002E-2</v>
      </c>
      <c r="U204">
        <v>0.16700000000000001</v>
      </c>
      <c r="V204">
        <v>1.7490000000000001</v>
      </c>
      <c r="W204">
        <v>1035279</v>
      </c>
      <c r="X204">
        <v>243847</v>
      </c>
      <c r="Y204">
        <v>0.23599999999999999</v>
      </c>
      <c r="Z204">
        <v>5</v>
      </c>
      <c r="AA204" t="s">
        <v>147</v>
      </c>
    </row>
    <row r="205" spans="1:27" x14ac:dyDescent="0.3">
      <c r="A205">
        <v>204</v>
      </c>
      <c r="B205">
        <v>54110</v>
      </c>
      <c r="C205" s="29">
        <v>45429</v>
      </c>
      <c r="D205" t="s">
        <v>222</v>
      </c>
      <c r="E205" t="s">
        <v>77</v>
      </c>
      <c r="F205" t="s">
        <v>80</v>
      </c>
      <c r="G205" t="s">
        <v>81</v>
      </c>
      <c r="H205">
        <v>10</v>
      </c>
      <c r="I205">
        <v>94</v>
      </c>
      <c r="J205">
        <v>9.4</v>
      </c>
      <c r="K205">
        <v>0.5</v>
      </c>
      <c r="L205">
        <v>301450</v>
      </c>
      <c r="M205">
        <v>30145</v>
      </c>
      <c r="N205">
        <v>0.27200000000000002</v>
      </c>
      <c r="O205">
        <v>0.1</v>
      </c>
      <c r="P205">
        <v>657459</v>
      </c>
      <c r="Q205">
        <v>81891</v>
      </c>
      <c r="R205">
        <v>340138.61</v>
      </c>
      <c r="S205">
        <v>286684</v>
      </c>
      <c r="T205">
        <v>0.125</v>
      </c>
      <c r="U205">
        <v>0.24099999999999999</v>
      </c>
      <c r="V205">
        <v>1.9330000000000001</v>
      </c>
      <c r="W205">
        <v>745314</v>
      </c>
      <c r="X205">
        <v>147943</v>
      </c>
      <c r="Y205">
        <v>0.19800000000000001</v>
      </c>
      <c r="Z205">
        <v>5</v>
      </c>
      <c r="AA205" t="s">
        <v>147</v>
      </c>
    </row>
    <row r="206" spans="1:27" x14ac:dyDescent="0.3">
      <c r="A206">
        <v>205</v>
      </c>
      <c r="B206">
        <v>53748</v>
      </c>
      <c r="C206" s="29">
        <v>45430</v>
      </c>
      <c r="D206" t="s">
        <v>222</v>
      </c>
      <c r="E206" t="s">
        <v>93</v>
      </c>
      <c r="F206" t="s">
        <v>85</v>
      </c>
      <c r="G206" t="s">
        <v>76</v>
      </c>
      <c r="H206">
        <v>9</v>
      </c>
      <c r="I206">
        <v>79</v>
      </c>
      <c r="J206">
        <v>8.8000000000000007</v>
      </c>
      <c r="K206">
        <v>0.33300000000000002</v>
      </c>
      <c r="L206">
        <v>103595</v>
      </c>
      <c r="M206">
        <v>11511</v>
      </c>
      <c r="N206">
        <v>0.77200000000000002</v>
      </c>
      <c r="O206">
        <v>0.111</v>
      </c>
      <c r="P206">
        <v>279743</v>
      </c>
      <c r="Q206">
        <v>80026</v>
      </c>
      <c r="R206">
        <v>130771.07</v>
      </c>
      <c r="S206">
        <v>79182</v>
      </c>
      <c r="T206">
        <v>0.28599999999999998</v>
      </c>
      <c r="U206">
        <v>0.61199999999999999</v>
      </c>
      <c r="V206">
        <v>2.1389999999999998</v>
      </c>
      <c r="W206">
        <v>425374</v>
      </c>
      <c r="X206">
        <v>76777</v>
      </c>
      <c r="Y206">
        <v>0.18</v>
      </c>
      <c r="Z206">
        <v>5</v>
      </c>
      <c r="AA206" t="s">
        <v>147</v>
      </c>
    </row>
    <row r="207" spans="1:27" x14ac:dyDescent="0.3">
      <c r="A207">
        <v>206</v>
      </c>
      <c r="B207">
        <v>54121</v>
      </c>
      <c r="C207" s="29">
        <v>45431</v>
      </c>
      <c r="D207" t="s">
        <v>222</v>
      </c>
      <c r="E207" t="s">
        <v>82</v>
      </c>
      <c r="F207" t="s">
        <v>89</v>
      </c>
      <c r="G207" t="s">
        <v>81</v>
      </c>
      <c r="H207">
        <v>11</v>
      </c>
      <c r="I207">
        <v>125</v>
      </c>
      <c r="J207">
        <v>11.4</v>
      </c>
      <c r="K207">
        <v>0.63600000000000001</v>
      </c>
      <c r="L207">
        <v>162836</v>
      </c>
      <c r="M207">
        <v>14712</v>
      </c>
      <c r="N207">
        <v>0.38400000000000001</v>
      </c>
      <c r="O207">
        <v>9.0999999999999998E-2</v>
      </c>
      <c r="P207">
        <v>760780</v>
      </c>
      <c r="Q207">
        <v>62518</v>
      </c>
      <c r="R207">
        <v>191410.25</v>
      </c>
      <c r="S207">
        <v>153632</v>
      </c>
      <c r="T207">
        <v>8.2000000000000003E-2</v>
      </c>
      <c r="U207">
        <v>0.32700000000000001</v>
      </c>
      <c r="V207">
        <v>3.9750000000000001</v>
      </c>
      <c r="W207">
        <v>776670</v>
      </c>
      <c r="X207">
        <v>219949</v>
      </c>
      <c r="Y207">
        <v>0.28299999999999997</v>
      </c>
      <c r="Z207">
        <v>5</v>
      </c>
      <c r="AA207" t="s">
        <v>147</v>
      </c>
    </row>
    <row r="208" spans="1:27" x14ac:dyDescent="0.3">
      <c r="A208">
        <v>207</v>
      </c>
      <c r="B208">
        <v>54125</v>
      </c>
      <c r="C208" s="29">
        <v>45435</v>
      </c>
      <c r="D208" t="s">
        <v>222</v>
      </c>
      <c r="E208" t="s">
        <v>74</v>
      </c>
      <c r="F208" t="s">
        <v>80</v>
      </c>
      <c r="G208" t="s">
        <v>81</v>
      </c>
      <c r="H208">
        <v>10</v>
      </c>
      <c r="I208">
        <v>99</v>
      </c>
      <c r="J208">
        <v>9.9</v>
      </c>
      <c r="K208">
        <v>0.6</v>
      </c>
      <c r="L208">
        <v>159031</v>
      </c>
      <c r="M208">
        <v>15903</v>
      </c>
      <c r="N208">
        <v>0.40899999999999997</v>
      </c>
      <c r="O208">
        <v>0.1</v>
      </c>
      <c r="P208">
        <v>754956</v>
      </c>
      <c r="Q208">
        <v>65012</v>
      </c>
      <c r="R208">
        <v>197821.11</v>
      </c>
      <c r="S208">
        <v>241915</v>
      </c>
      <c r="T208">
        <v>8.5999999999999993E-2</v>
      </c>
      <c r="U208">
        <v>0.32900000000000001</v>
      </c>
      <c r="V208">
        <v>3.8159999999999998</v>
      </c>
      <c r="W208">
        <v>794132</v>
      </c>
      <c r="X208">
        <v>170900</v>
      </c>
      <c r="Y208">
        <v>0.215</v>
      </c>
      <c r="Z208">
        <v>5</v>
      </c>
      <c r="AA208" t="s">
        <v>147</v>
      </c>
    </row>
    <row r="209" spans="1:27" x14ac:dyDescent="0.3">
      <c r="A209">
        <v>208</v>
      </c>
      <c r="B209">
        <v>53745</v>
      </c>
      <c r="C209" s="29">
        <v>45436</v>
      </c>
      <c r="D209" t="s">
        <v>222</v>
      </c>
      <c r="E209" t="s">
        <v>77</v>
      </c>
      <c r="F209" t="s">
        <v>78</v>
      </c>
      <c r="G209" t="s">
        <v>79</v>
      </c>
      <c r="H209">
        <v>10</v>
      </c>
      <c r="I209">
        <v>85</v>
      </c>
      <c r="J209">
        <v>8.5</v>
      </c>
      <c r="K209">
        <v>0.4</v>
      </c>
      <c r="L209">
        <v>691974</v>
      </c>
      <c r="M209">
        <v>69197</v>
      </c>
      <c r="N209">
        <v>0.61299999999999999</v>
      </c>
      <c r="O209">
        <v>0.3</v>
      </c>
      <c r="P209">
        <v>1134706</v>
      </c>
      <c r="Q209">
        <v>424024</v>
      </c>
      <c r="R209">
        <v>719340.29</v>
      </c>
      <c r="S209">
        <v>502782</v>
      </c>
      <c r="T209">
        <v>0.374</v>
      </c>
      <c r="U209">
        <v>0.58899999999999997</v>
      </c>
      <c r="V209">
        <v>1.577</v>
      </c>
      <c r="W209">
        <v>1460192</v>
      </c>
      <c r="X209">
        <v>439377</v>
      </c>
      <c r="Y209">
        <v>0.30099999999999999</v>
      </c>
      <c r="Z209">
        <v>5</v>
      </c>
      <c r="AA209" t="s">
        <v>147</v>
      </c>
    </row>
    <row r="210" spans="1:27" x14ac:dyDescent="0.3">
      <c r="A210">
        <v>209</v>
      </c>
      <c r="B210">
        <v>53752</v>
      </c>
      <c r="C210" s="29">
        <v>45437</v>
      </c>
      <c r="D210" t="s">
        <v>222</v>
      </c>
      <c r="E210" t="s">
        <v>93</v>
      </c>
      <c r="F210" t="s">
        <v>75</v>
      </c>
      <c r="G210" t="s">
        <v>76</v>
      </c>
      <c r="H210">
        <v>10</v>
      </c>
      <c r="I210">
        <v>99</v>
      </c>
      <c r="J210">
        <v>9.9</v>
      </c>
      <c r="K210">
        <v>0.4</v>
      </c>
      <c r="L210">
        <v>118380</v>
      </c>
      <c r="M210">
        <v>11838</v>
      </c>
      <c r="N210">
        <v>0.68899999999999995</v>
      </c>
      <c r="O210">
        <v>0</v>
      </c>
      <c r="P210">
        <v>421381</v>
      </c>
      <c r="Q210">
        <v>81615</v>
      </c>
      <c r="R210">
        <v>143449.54999999999</v>
      </c>
      <c r="S210">
        <v>120650</v>
      </c>
      <c r="T210">
        <v>0.19400000000000001</v>
      </c>
      <c r="U210">
        <v>0.56899999999999995</v>
      </c>
      <c r="V210">
        <v>2.9369999999999998</v>
      </c>
      <c r="W210">
        <v>473235</v>
      </c>
      <c r="X210">
        <v>104428</v>
      </c>
      <c r="Y210">
        <v>0.221</v>
      </c>
      <c r="Z210">
        <v>5</v>
      </c>
      <c r="AA210" t="s">
        <v>147</v>
      </c>
    </row>
    <row r="211" spans="1:27" x14ac:dyDescent="0.3">
      <c r="A211">
        <v>210</v>
      </c>
      <c r="B211">
        <v>54126</v>
      </c>
      <c r="C211" s="29">
        <v>45438</v>
      </c>
      <c r="D211" t="s">
        <v>222</v>
      </c>
      <c r="E211" t="s">
        <v>82</v>
      </c>
      <c r="F211" t="s">
        <v>95</v>
      </c>
      <c r="G211" t="s">
        <v>81</v>
      </c>
      <c r="H211">
        <v>10</v>
      </c>
      <c r="I211">
        <v>98</v>
      </c>
      <c r="J211">
        <v>9.8000000000000007</v>
      </c>
      <c r="K211">
        <v>0.3</v>
      </c>
      <c r="L211">
        <v>118688</v>
      </c>
      <c r="M211">
        <v>11869</v>
      </c>
      <c r="N211">
        <v>1.2010000000000001</v>
      </c>
      <c r="O211">
        <v>0.1</v>
      </c>
      <c r="P211">
        <v>739739</v>
      </c>
      <c r="Q211">
        <v>142531</v>
      </c>
      <c r="R211">
        <v>137754.78</v>
      </c>
      <c r="S211">
        <v>117182</v>
      </c>
      <c r="T211">
        <v>0.193</v>
      </c>
      <c r="U211">
        <v>1.0349999999999999</v>
      </c>
      <c r="V211">
        <v>5.37</v>
      </c>
      <c r="W211">
        <v>741540</v>
      </c>
      <c r="X211">
        <v>139445</v>
      </c>
      <c r="Y211">
        <v>0.188</v>
      </c>
      <c r="Z211">
        <v>5</v>
      </c>
      <c r="AA211" t="s">
        <v>147</v>
      </c>
    </row>
    <row r="212" spans="1:27" x14ac:dyDescent="0.3">
      <c r="A212">
        <v>211</v>
      </c>
      <c r="B212">
        <v>54173</v>
      </c>
      <c r="C212" s="29">
        <v>45442</v>
      </c>
      <c r="D212" t="s">
        <v>222</v>
      </c>
      <c r="E212" t="s">
        <v>74</v>
      </c>
      <c r="F212" t="s">
        <v>80</v>
      </c>
      <c r="G212" t="s">
        <v>81</v>
      </c>
      <c r="H212">
        <v>10</v>
      </c>
      <c r="I212">
        <v>110</v>
      </c>
      <c r="J212">
        <v>11</v>
      </c>
      <c r="K212">
        <v>0.5</v>
      </c>
      <c r="L212">
        <v>174465</v>
      </c>
      <c r="M212">
        <v>17446</v>
      </c>
      <c r="N212">
        <v>0.373</v>
      </c>
      <c r="O212">
        <v>0.2</v>
      </c>
      <c r="P212">
        <v>948850</v>
      </c>
      <c r="Q212">
        <v>65156</v>
      </c>
      <c r="R212">
        <v>213253.61</v>
      </c>
      <c r="S212">
        <v>283987</v>
      </c>
      <c r="T212">
        <v>6.9000000000000006E-2</v>
      </c>
      <c r="U212">
        <v>0.30599999999999999</v>
      </c>
      <c r="V212">
        <v>4.4489999999999998</v>
      </c>
      <c r="W212">
        <v>862645</v>
      </c>
      <c r="X212">
        <v>86147</v>
      </c>
      <c r="Y212">
        <v>0.1</v>
      </c>
      <c r="Z212">
        <v>5</v>
      </c>
      <c r="AA212" t="s">
        <v>147</v>
      </c>
    </row>
    <row r="213" spans="1:27" x14ac:dyDescent="0.3">
      <c r="A213">
        <v>212</v>
      </c>
      <c r="B213">
        <v>53760</v>
      </c>
      <c r="C213" s="29">
        <v>45443</v>
      </c>
      <c r="D213" t="s">
        <v>222</v>
      </c>
      <c r="E213" t="s">
        <v>77</v>
      </c>
      <c r="F213" t="s">
        <v>84</v>
      </c>
      <c r="G213" t="s">
        <v>79</v>
      </c>
      <c r="H213">
        <v>10</v>
      </c>
      <c r="I213">
        <v>81</v>
      </c>
      <c r="J213">
        <v>8.1</v>
      </c>
      <c r="K213">
        <v>0.3</v>
      </c>
      <c r="L213">
        <v>109020</v>
      </c>
      <c r="M213">
        <v>10902</v>
      </c>
      <c r="N213">
        <v>0.50800000000000001</v>
      </c>
      <c r="O213">
        <v>0.3</v>
      </c>
      <c r="P213">
        <v>662645</v>
      </c>
      <c r="Q213">
        <v>55328</v>
      </c>
      <c r="R213">
        <v>135232.64000000001</v>
      </c>
      <c r="S213">
        <v>246973</v>
      </c>
      <c r="T213">
        <v>8.3000000000000004E-2</v>
      </c>
      <c r="U213">
        <v>0.40899999999999997</v>
      </c>
      <c r="V213">
        <v>4.9000000000000004</v>
      </c>
      <c r="W213">
        <v>741382</v>
      </c>
      <c r="X213">
        <v>117758</v>
      </c>
      <c r="Y213">
        <v>0.159</v>
      </c>
      <c r="Z213">
        <v>5</v>
      </c>
      <c r="AA213" t="s">
        <v>147</v>
      </c>
    </row>
    <row r="214" spans="1:27" x14ac:dyDescent="0.3">
      <c r="A214">
        <v>213</v>
      </c>
      <c r="B214">
        <v>54174</v>
      </c>
      <c r="C214" s="29">
        <v>45445</v>
      </c>
      <c r="D214" t="s">
        <v>222</v>
      </c>
      <c r="E214" t="s">
        <v>82</v>
      </c>
      <c r="F214" t="s">
        <v>86</v>
      </c>
      <c r="G214" t="s">
        <v>81</v>
      </c>
      <c r="H214">
        <v>11</v>
      </c>
      <c r="I214">
        <v>121</v>
      </c>
      <c r="J214">
        <v>11</v>
      </c>
      <c r="K214">
        <v>9.0999999999999998E-2</v>
      </c>
      <c r="L214">
        <v>218288</v>
      </c>
      <c r="M214">
        <v>19844</v>
      </c>
      <c r="N214">
        <v>0.96499999999999997</v>
      </c>
      <c r="O214">
        <v>0.182</v>
      </c>
      <c r="P214">
        <v>883295</v>
      </c>
      <c r="Q214">
        <v>210675</v>
      </c>
      <c r="R214">
        <v>247962.75</v>
      </c>
      <c r="S214">
        <v>213783</v>
      </c>
      <c r="T214">
        <v>0.23899999999999999</v>
      </c>
      <c r="U214">
        <v>0.85</v>
      </c>
      <c r="V214">
        <v>3.5619999999999998</v>
      </c>
      <c r="W214">
        <v>880236</v>
      </c>
      <c r="X214">
        <v>230213</v>
      </c>
      <c r="Y214">
        <v>0.26200000000000001</v>
      </c>
      <c r="Z214">
        <v>6</v>
      </c>
      <c r="AA214" t="s">
        <v>147</v>
      </c>
    </row>
    <row r="215" spans="1:27" x14ac:dyDescent="0.3">
      <c r="A215">
        <v>214</v>
      </c>
      <c r="B215">
        <v>53754</v>
      </c>
      <c r="C215" s="29">
        <v>45446</v>
      </c>
      <c r="D215" t="s">
        <v>222</v>
      </c>
      <c r="E215" t="s">
        <v>99</v>
      </c>
      <c r="F215" t="s">
        <v>85</v>
      </c>
      <c r="G215" t="s">
        <v>76</v>
      </c>
      <c r="H215">
        <v>10</v>
      </c>
      <c r="I215">
        <v>90</v>
      </c>
      <c r="J215">
        <v>9</v>
      </c>
      <c r="K215">
        <v>0.4</v>
      </c>
      <c r="L215">
        <v>116245</v>
      </c>
      <c r="M215">
        <v>11624</v>
      </c>
      <c r="N215">
        <v>0.71899999999999997</v>
      </c>
      <c r="O215">
        <v>0.2</v>
      </c>
      <c r="P215">
        <v>668986</v>
      </c>
      <c r="Q215">
        <v>83627</v>
      </c>
      <c r="R215">
        <v>143521.07</v>
      </c>
      <c r="S215">
        <v>165243</v>
      </c>
      <c r="T215">
        <v>0.125</v>
      </c>
      <c r="U215">
        <v>0.58299999999999996</v>
      </c>
      <c r="V215">
        <v>4.6609999999999996</v>
      </c>
      <c r="W215">
        <v>630524</v>
      </c>
      <c r="X215">
        <v>139241</v>
      </c>
      <c r="Y215">
        <v>0.221</v>
      </c>
      <c r="Z215">
        <v>6</v>
      </c>
      <c r="AA215" t="s">
        <v>147</v>
      </c>
    </row>
    <row r="216" spans="1:27" x14ac:dyDescent="0.3">
      <c r="A216">
        <v>215</v>
      </c>
      <c r="B216">
        <v>54082</v>
      </c>
      <c r="C216" s="29">
        <v>45449</v>
      </c>
      <c r="D216" t="s">
        <v>222</v>
      </c>
      <c r="E216" t="s">
        <v>74</v>
      </c>
      <c r="F216" t="s">
        <v>78</v>
      </c>
      <c r="G216" t="s">
        <v>79</v>
      </c>
      <c r="H216">
        <v>8</v>
      </c>
      <c r="I216">
        <v>73</v>
      </c>
      <c r="J216">
        <v>9.1</v>
      </c>
      <c r="K216">
        <v>0.25</v>
      </c>
      <c r="L216">
        <v>122838</v>
      </c>
      <c r="M216">
        <v>15355</v>
      </c>
      <c r="N216">
        <v>0.70699999999999996</v>
      </c>
      <c r="O216">
        <v>0.25</v>
      </c>
      <c r="P216">
        <v>580564</v>
      </c>
      <c r="Q216">
        <v>86823</v>
      </c>
      <c r="R216">
        <v>150105.29</v>
      </c>
      <c r="S216">
        <v>259527</v>
      </c>
      <c r="T216">
        <v>0.15</v>
      </c>
      <c r="U216">
        <v>0.57799999999999996</v>
      </c>
      <c r="V216">
        <v>3.8679999999999999</v>
      </c>
      <c r="W216">
        <v>678241</v>
      </c>
      <c r="X216">
        <v>162742</v>
      </c>
      <c r="Y216">
        <v>0.24</v>
      </c>
      <c r="Z216">
        <v>6</v>
      </c>
      <c r="AA216" t="s">
        <v>147</v>
      </c>
    </row>
    <row r="217" spans="1:27" x14ac:dyDescent="0.3">
      <c r="A217">
        <v>216</v>
      </c>
      <c r="B217">
        <v>53757</v>
      </c>
      <c r="C217" s="29">
        <v>45450</v>
      </c>
      <c r="D217" t="s">
        <v>222</v>
      </c>
      <c r="E217" t="s">
        <v>77</v>
      </c>
      <c r="F217" t="s">
        <v>85</v>
      </c>
      <c r="G217" t="s">
        <v>76</v>
      </c>
      <c r="H217">
        <v>9</v>
      </c>
      <c r="I217">
        <v>85</v>
      </c>
      <c r="J217">
        <v>9.4</v>
      </c>
      <c r="K217">
        <v>0.222</v>
      </c>
      <c r="L217">
        <v>104995</v>
      </c>
      <c r="M217">
        <v>11666</v>
      </c>
      <c r="N217">
        <v>0.56299999999999994</v>
      </c>
      <c r="O217">
        <v>0</v>
      </c>
      <c r="P217">
        <v>381938</v>
      </c>
      <c r="Q217">
        <v>59125</v>
      </c>
      <c r="R217">
        <v>132071.07</v>
      </c>
      <c r="S217">
        <v>204249</v>
      </c>
      <c r="T217">
        <v>0.155</v>
      </c>
      <c r="U217">
        <v>0.44800000000000001</v>
      </c>
      <c r="V217">
        <v>2.8919999999999999</v>
      </c>
      <c r="W217">
        <v>485780</v>
      </c>
      <c r="X217">
        <v>139268</v>
      </c>
      <c r="Y217">
        <v>0.28699999999999998</v>
      </c>
      <c r="Z217">
        <v>6</v>
      </c>
      <c r="AA217" t="s">
        <v>147</v>
      </c>
    </row>
    <row r="218" spans="1:27" x14ac:dyDescent="0.3">
      <c r="A218">
        <v>217</v>
      </c>
      <c r="B218">
        <v>54302</v>
      </c>
      <c r="C218" s="29">
        <v>45450</v>
      </c>
      <c r="D218" t="s">
        <v>222</v>
      </c>
      <c r="E218" t="s">
        <v>77</v>
      </c>
      <c r="F218" t="s">
        <v>80</v>
      </c>
      <c r="G218" t="s">
        <v>81</v>
      </c>
      <c r="H218">
        <v>8</v>
      </c>
      <c r="I218">
        <v>80</v>
      </c>
      <c r="J218">
        <v>10</v>
      </c>
      <c r="K218">
        <v>0.375</v>
      </c>
      <c r="L218">
        <v>120451</v>
      </c>
      <c r="M218">
        <v>15056</v>
      </c>
      <c r="N218">
        <v>0.54400000000000004</v>
      </c>
      <c r="O218">
        <v>0</v>
      </c>
      <c r="P218">
        <v>822052</v>
      </c>
      <c r="Q218">
        <v>65485</v>
      </c>
      <c r="R218">
        <v>159138.60999999999</v>
      </c>
      <c r="S218">
        <v>363424</v>
      </c>
      <c r="T218">
        <v>0.08</v>
      </c>
      <c r="U218">
        <v>0.41099999999999998</v>
      </c>
      <c r="V218">
        <v>5.1660000000000004</v>
      </c>
      <c r="W218">
        <v>957491</v>
      </c>
      <c r="X218">
        <v>207478</v>
      </c>
      <c r="Y218">
        <v>0.217</v>
      </c>
      <c r="Z218">
        <v>6</v>
      </c>
      <c r="AA218" t="s">
        <v>147</v>
      </c>
    </row>
    <row r="219" spans="1:27" x14ac:dyDescent="0.3">
      <c r="A219">
        <v>218</v>
      </c>
      <c r="B219">
        <v>54303</v>
      </c>
      <c r="C219" s="29">
        <v>45452</v>
      </c>
      <c r="D219" t="s">
        <v>222</v>
      </c>
      <c r="E219" t="s">
        <v>82</v>
      </c>
      <c r="F219" t="s">
        <v>80</v>
      </c>
      <c r="G219" t="s">
        <v>81</v>
      </c>
      <c r="H219">
        <v>11</v>
      </c>
      <c r="I219">
        <v>142</v>
      </c>
      <c r="J219">
        <v>12.9</v>
      </c>
      <c r="K219">
        <v>0.36399999999999999</v>
      </c>
      <c r="L219">
        <v>120969</v>
      </c>
      <c r="M219">
        <v>10997</v>
      </c>
      <c r="N219">
        <v>0.89500000000000002</v>
      </c>
      <c r="O219">
        <v>0</v>
      </c>
      <c r="P219">
        <v>886625</v>
      </c>
      <c r="Q219">
        <v>108327</v>
      </c>
      <c r="R219">
        <v>159757.35999999999</v>
      </c>
      <c r="S219">
        <v>151347</v>
      </c>
      <c r="T219">
        <v>0.122</v>
      </c>
      <c r="U219">
        <v>0.67800000000000005</v>
      </c>
      <c r="V219">
        <v>5.55</v>
      </c>
      <c r="W219">
        <v>645751</v>
      </c>
      <c r="X219">
        <v>25668</v>
      </c>
      <c r="Y219">
        <v>0.04</v>
      </c>
      <c r="Z219">
        <v>6</v>
      </c>
      <c r="AA219" t="s">
        <v>147</v>
      </c>
    </row>
    <row r="220" spans="1:27" x14ac:dyDescent="0.3">
      <c r="A220">
        <v>219</v>
      </c>
      <c r="B220">
        <v>54113</v>
      </c>
      <c r="C220" s="29">
        <v>45456</v>
      </c>
      <c r="D220" t="s">
        <v>222</v>
      </c>
      <c r="E220" t="s">
        <v>74</v>
      </c>
      <c r="F220" t="s">
        <v>78</v>
      </c>
      <c r="G220" t="s">
        <v>79</v>
      </c>
      <c r="H220">
        <v>9</v>
      </c>
      <c r="I220">
        <v>72</v>
      </c>
      <c r="J220">
        <v>8</v>
      </c>
      <c r="K220">
        <v>0.44400000000000001</v>
      </c>
      <c r="L220">
        <v>136781</v>
      </c>
      <c r="M220">
        <v>15198</v>
      </c>
      <c r="N220">
        <v>-0.19500000000000001</v>
      </c>
      <c r="O220">
        <v>0</v>
      </c>
      <c r="P220">
        <v>616721</v>
      </c>
      <c r="Q220">
        <v>-26720</v>
      </c>
      <c r="R220">
        <v>164045.29</v>
      </c>
      <c r="S220">
        <v>239829</v>
      </c>
      <c r="T220">
        <v>-4.2999999999999997E-2</v>
      </c>
      <c r="U220">
        <v>-0.16300000000000001</v>
      </c>
      <c r="V220">
        <v>3.7589999999999999</v>
      </c>
      <c r="W220">
        <v>706034</v>
      </c>
      <c r="X220">
        <v>151104</v>
      </c>
      <c r="Y220">
        <v>0.214</v>
      </c>
      <c r="Z220">
        <v>6</v>
      </c>
      <c r="AA220" t="s">
        <v>147</v>
      </c>
    </row>
    <row r="221" spans="1:27" x14ac:dyDescent="0.3">
      <c r="A221">
        <v>220</v>
      </c>
      <c r="B221">
        <v>54306</v>
      </c>
      <c r="C221" s="29">
        <v>45457</v>
      </c>
      <c r="D221" t="s">
        <v>222</v>
      </c>
      <c r="E221" t="s">
        <v>77</v>
      </c>
      <c r="F221" t="s">
        <v>80</v>
      </c>
      <c r="G221" t="s">
        <v>81</v>
      </c>
      <c r="H221">
        <v>11</v>
      </c>
      <c r="I221">
        <v>102</v>
      </c>
      <c r="J221">
        <v>9.3000000000000007</v>
      </c>
      <c r="K221">
        <v>0.63600000000000001</v>
      </c>
      <c r="L221">
        <v>178660</v>
      </c>
      <c r="M221">
        <v>16242</v>
      </c>
      <c r="N221">
        <v>0.92100000000000004</v>
      </c>
      <c r="O221">
        <v>9.0999999999999998E-2</v>
      </c>
      <c r="P221">
        <v>1094836</v>
      </c>
      <c r="Q221">
        <v>164547</v>
      </c>
      <c r="R221">
        <v>217613.61</v>
      </c>
      <c r="S221">
        <v>286356</v>
      </c>
      <c r="T221">
        <v>0.15</v>
      </c>
      <c r="U221">
        <v>0.75600000000000001</v>
      </c>
      <c r="V221">
        <v>5.0309999999999997</v>
      </c>
      <c r="W221">
        <v>956997</v>
      </c>
      <c r="X221">
        <v>275014</v>
      </c>
      <c r="Y221">
        <v>0.28699999999999998</v>
      </c>
      <c r="Z221">
        <v>6</v>
      </c>
      <c r="AA221" t="s">
        <v>147</v>
      </c>
    </row>
    <row r="222" spans="1:27" x14ac:dyDescent="0.3">
      <c r="A222">
        <v>221</v>
      </c>
      <c r="B222">
        <v>53758</v>
      </c>
      <c r="C222" s="29">
        <v>45458</v>
      </c>
      <c r="D222" t="s">
        <v>222</v>
      </c>
      <c r="E222" t="s">
        <v>93</v>
      </c>
      <c r="F222" t="s">
        <v>85</v>
      </c>
      <c r="G222" t="s">
        <v>76</v>
      </c>
      <c r="H222">
        <v>9</v>
      </c>
      <c r="I222">
        <v>81</v>
      </c>
      <c r="J222">
        <v>9</v>
      </c>
      <c r="K222">
        <v>0.66700000000000004</v>
      </c>
      <c r="L222">
        <v>104050</v>
      </c>
      <c r="M222">
        <v>8009</v>
      </c>
      <c r="N222">
        <v>0.44700000000000001</v>
      </c>
      <c r="O222">
        <v>0</v>
      </c>
      <c r="P222">
        <v>412692</v>
      </c>
      <c r="Q222">
        <v>46515</v>
      </c>
      <c r="R222">
        <v>99161.07</v>
      </c>
      <c r="S222">
        <v>175349</v>
      </c>
      <c r="T222">
        <v>0.113</v>
      </c>
      <c r="U222">
        <v>0.46899999999999997</v>
      </c>
      <c r="V222">
        <v>4.1619999999999999</v>
      </c>
      <c r="W222">
        <v>523078</v>
      </c>
      <c r="X222">
        <v>88613</v>
      </c>
      <c r="Y222">
        <v>0.16900000000000001</v>
      </c>
      <c r="Z222">
        <v>6</v>
      </c>
      <c r="AA222" t="s">
        <v>147</v>
      </c>
    </row>
    <row r="223" spans="1:27" x14ac:dyDescent="0.3">
      <c r="A223">
        <v>222</v>
      </c>
      <c r="B223">
        <v>54307</v>
      </c>
      <c r="C223" s="29">
        <v>45459</v>
      </c>
      <c r="D223" t="s">
        <v>222</v>
      </c>
      <c r="E223" t="s">
        <v>82</v>
      </c>
      <c r="F223" t="s">
        <v>80</v>
      </c>
      <c r="G223" t="s">
        <v>81</v>
      </c>
      <c r="H223">
        <v>10</v>
      </c>
      <c r="I223">
        <v>124</v>
      </c>
      <c r="J223">
        <v>12.4</v>
      </c>
      <c r="K223">
        <v>0.5</v>
      </c>
      <c r="L223">
        <v>109753</v>
      </c>
      <c r="M223">
        <v>10975</v>
      </c>
      <c r="N223">
        <v>-0.45700000000000002</v>
      </c>
      <c r="O223">
        <v>0</v>
      </c>
      <c r="P223">
        <v>837954</v>
      </c>
      <c r="Q223">
        <v>-50151</v>
      </c>
      <c r="R223">
        <v>148624.85999999999</v>
      </c>
      <c r="S223">
        <v>234390</v>
      </c>
      <c r="T223">
        <v>-0.06</v>
      </c>
      <c r="U223">
        <v>-0.33700000000000002</v>
      </c>
      <c r="V223">
        <v>5.6379999999999999</v>
      </c>
      <c r="W223">
        <v>898928</v>
      </c>
      <c r="X223">
        <v>231120</v>
      </c>
      <c r="Y223">
        <v>0.25700000000000001</v>
      </c>
      <c r="Z223">
        <v>6</v>
      </c>
      <c r="AA223" t="s">
        <v>147</v>
      </c>
    </row>
    <row r="224" spans="1:27" x14ac:dyDescent="0.3">
      <c r="A224">
        <v>223</v>
      </c>
      <c r="B224">
        <v>54117</v>
      </c>
      <c r="C224" s="29">
        <v>45463</v>
      </c>
      <c r="D224" t="s">
        <v>222</v>
      </c>
      <c r="E224" t="s">
        <v>74</v>
      </c>
      <c r="F224" t="s">
        <v>84</v>
      </c>
      <c r="G224" t="s">
        <v>79</v>
      </c>
      <c r="H224">
        <v>8</v>
      </c>
      <c r="I224">
        <v>68</v>
      </c>
      <c r="J224">
        <v>8.5</v>
      </c>
      <c r="K224">
        <v>0.125</v>
      </c>
      <c r="L224">
        <v>90111</v>
      </c>
      <c r="M224">
        <v>11264</v>
      </c>
      <c r="N224">
        <v>1.873</v>
      </c>
      <c r="O224">
        <v>0.125</v>
      </c>
      <c r="P224">
        <v>509867</v>
      </c>
      <c r="Q224">
        <v>168806</v>
      </c>
      <c r="R224">
        <v>116423.89</v>
      </c>
      <c r="S224">
        <v>240691</v>
      </c>
      <c r="T224">
        <v>0.33100000000000002</v>
      </c>
      <c r="U224">
        <v>1.45</v>
      </c>
      <c r="V224">
        <v>4.3789999999999996</v>
      </c>
      <c r="W224">
        <v>577536</v>
      </c>
      <c r="X224">
        <v>133171</v>
      </c>
      <c r="Y224">
        <v>0.23100000000000001</v>
      </c>
      <c r="Z224">
        <v>6</v>
      </c>
      <c r="AA224" t="s">
        <v>147</v>
      </c>
    </row>
    <row r="225" spans="1:27" x14ac:dyDescent="0.3">
      <c r="A225">
        <v>224</v>
      </c>
      <c r="B225">
        <v>54323</v>
      </c>
      <c r="C225" s="29">
        <v>45464</v>
      </c>
      <c r="D225" t="s">
        <v>222</v>
      </c>
      <c r="E225" t="s">
        <v>77</v>
      </c>
      <c r="F225" t="s">
        <v>80</v>
      </c>
      <c r="G225" t="s">
        <v>81</v>
      </c>
      <c r="H225">
        <v>10</v>
      </c>
      <c r="I225">
        <v>103</v>
      </c>
      <c r="J225">
        <v>10.3</v>
      </c>
      <c r="K225">
        <v>0.3</v>
      </c>
      <c r="L225">
        <v>147258</v>
      </c>
      <c r="M225">
        <v>14726</v>
      </c>
      <c r="N225">
        <v>1.7809999999999999</v>
      </c>
      <c r="O225">
        <v>0</v>
      </c>
      <c r="P225">
        <v>1135320</v>
      </c>
      <c r="Q225">
        <v>262194</v>
      </c>
      <c r="R225">
        <v>186208.61</v>
      </c>
      <c r="S225">
        <v>397570</v>
      </c>
      <c r="T225">
        <v>0.23100000000000001</v>
      </c>
      <c r="U225">
        <v>1.4079999999999999</v>
      </c>
      <c r="V225">
        <v>6.0970000000000004</v>
      </c>
      <c r="W225">
        <v>885230</v>
      </c>
      <c r="X225">
        <v>166141</v>
      </c>
      <c r="Y225">
        <v>0.188</v>
      </c>
      <c r="Z225">
        <v>6</v>
      </c>
      <c r="AA225" t="s">
        <v>147</v>
      </c>
    </row>
    <row r="226" spans="1:27" x14ac:dyDescent="0.3">
      <c r="A226">
        <v>225</v>
      </c>
      <c r="B226">
        <v>54085</v>
      </c>
      <c r="C226" s="29">
        <v>45465</v>
      </c>
      <c r="D226" t="s">
        <v>222</v>
      </c>
      <c r="E226" t="s">
        <v>93</v>
      </c>
      <c r="F226" t="s">
        <v>104</v>
      </c>
      <c r="G226" t="s">
        <v>76</v>
      </c>
      <c r="H226">
        <v>9</v>
      </c>
      <c r="I226">
        <v>86</v>
      </c>
      <c r="J226">
        <v>9.6</v>
      </c>
      <c r="K226">
        <v>0.33300000000000002</v>
      </c>
      <c r="L226">
        <v>103565</v>
      </c>
      <c r="M226">
        <v>11452</v>
      </c>
      <c r="N226">
        <v>1.0640000000000001</v>
      </c>
      <c r="O226">
        <v>0</v>
      </c>
      <c r="P226">
        <v>409886</v>
      </c>
      <c r="Q226">
        <v>110233</v>
      </c>
      <c r="R226">
        <v>120182.05</v>
      </c>
      <c r="S226">
        <v>171603</v>
      </c>
      <c r="T226">
        <v>0.26900000000000002</v>
      </c>
      <c r="U226">
        <v>0.91700000000000004</v>
      </c>
      <c r="V226">
        <v>3.411</v>
      </c>
      <c r="W226">
        <v>536074</v>
      </c>
      <c r="X226">
        <v>117338</v>
      </c>
      <c r="Y226">
        <v>0.219</v>
      </c>
      <c r="Z226">
        <v>6</v>
      </c>
      <c r="AA226" t="s">
        <v>147</v>
      </c>
    </row>
    <row r="227" spans="1:27" x14ac:dyDescent="0.3">
      <c r="A227">
        <v>226</v>
      </c>
      <c r="B227">
        <v>54324</v>
      </c>
      <c r="C227" s="29">
        <v>45466</v>
      </c>
      <c r="D227" t="s">
        <v>222</v>
      </c>
      <c r="E227" t="s">
        <v>82</v>
      </c>
      <c r="F227" t="s">
        <v>80</v>
      </c>
      <c r="G227" t="s">
        <v>81</v>
      </c>
      <c r="H227">
        <v>9</v>
      </c>
      <c r="I227">
        <v>94</v>
      </c>
      <c r="J227">
        <v>10.4</v>
      </c>
      <c r="K227">
        <v>0.33300000000000002</v>
      </c>
      <c r="L227">
        <v>100701</v>
      </c>
      <c r="M227">
        <v>11189</v>
      </c>
      <c r="N227">
        <v>1.8859999999999999</v>
      </c>
      <c r="O227">
        <v>0</v>
      </c>
      <c r="P227">
        <v>797237</v>
      </c>
      <c r="Q227">
        <v>189877</v>
      </c>
      <c r="R227">
        <v>139388.60999999999</v>
      </c>
      <c r="S227">
        <v>138951</v>
      </c>
      <c r="T227">
        <v>0.23799999999999999</v>
      </c>
      <c r="U227">
        <v>1.3620000000000001</v>
      </c>
      <c r="V227">
        <v>5.72</v>
      </c>
      <c r="W227">
        <v>795113</v>
      </c>
      <c r="X227">
        <v>79655</v>
      </c>
      <c r="Y227">
        <v>0.1</v>
      </c>
      <c r="Z227">
        <v>6</v>
      </c>
      <c r="AA227" t="s">
        <v>147</v>
      </c>
    </row>
    <row r="228" spans="1:27" x14ac:dyDescent="0.3">
      <c r="A228">
        <v>227</v>
      </c>
      <c r="B228">
        <v>54119</v>
      </c>
      <c r="C228" s="29">
        <v>45470</v>
      </c>
      <c r="D228" t="s">
        <v>222</v>
      </c>
      <c r="E228" t="s">
        <v>74</v>
      </c>
      <c r="F228" t="s">
        <v>78</v>
      </c>
      <c r="G228" t="s">
        <v>79</v>
      </c>
      <c r="H228">
        <v>9</v>
      </c>
      <c r="I228">
        <v>74</v>
      </c>
      <c r="J228">
        <v>8.1999999999999993</v>
      </c>
      <c r="K228">
        <v>0.55600000000000005</v>
      </c>
      <c r="L228">
        <v>138937</v>
      </c>
      <c r="M228">
        <v>15437</v>
      </c>
      <c r="N228">
        <v>1.258</v>
      </c>
      <c r="O228">
        <v>0</v>
      </c>
      <c r="P228">
        <v>723920</v>
      </c>
      <c r="Q228">
        <v>174804</v>
      </c>
      <c r="R228">
        <v>166302.79</v>
      </c>
      <c r="S228">
        <v>299532</v>
      </c>
      <c r="T228">
        <v>0.24099999999999999</v>
      </c>
      <c r="U228">
        <v>1.0509999999999999</v>
      </c>
      <c r="V228">
        <v>4.3529999999999998</v>
      </c>
      <c r="W228">
        <v>601897</v>
      </c>
      <c r="X228">
        <v>128768</v>
      </c>
      <c r="Y228">
        <v>0.214</v>
      </c>
      <c r="Z228">
        <v>6</v>
      </c>
      <c r="AA228" t="s">
        <v>147</v>
      </c>
    </row>
    <row r="229" spans="1:27" x14ac:dyDescent="0.3">
      <c r="A229">
        <v>228</v>
      </c>
      <c r="B229">
        <v>54325</v>
      </c>
      <c r="C229" s="29">
        <v>45471</v>
      </c>
      <c r="D229" t="s">
        <v>222</v>
      </c>
      <c r="E229" t="s">
        <v>77</v>
      </c>
      <c r="F229" t="s">
        <v>80</v>
      </c>
      <c r="G229" t="s">
        <v>81</v>
      </c>
      <c r="H229">
        <v>10</v>
      </c>
      <c r="I229">
        <v>100</v>
      </c>
      <c r="J229">
        <v>10</v>
      </c>
      <c r="K229">
        <v>0.4</v>
      </c>
      <c r="L229">
        <v>152075</v>
      </c>
      <c r="M229">
        <v>15208</v>
      </c>
      <c r="N229">
        <v>1.2070000000000001</v>
      </c>
      <c r="O229">
        <v>0</v>
      </c>
      <c r="P229">
        <v>1002297</v>
      </c>
      <c r="Q229">
        <v>183485</v>
      </c>
      <c r="R229">
        <v>191163.61</v>
      </c>
      <c r="S229">
        <v>330490</v>
      </c>
      <c r="T229">
        <v>0.183</v>
      </c>
      <c r="U229">
        <v>0.96</v>
      </c>
      <c r="V229">
        <v>5.2430000000000003</v>
      </c>
      <c r="W229">
        <v>842608</v>
      </c>
      <c r="X229">
        <v>89282</v>
      </c>
      <c r="Y229">
        <v>0.106</v>
      </c>
      <c r="Z229">
        <v>6</v>
      </c>
      <c r="AA229" t="s">
        <v>147</v>
      </c>
    </row>
    <row r="230" spans="1:27" x14ac:dyDescent="0.3">
      <c r="A230">
        <v>229</v>
      </c>
      <c r="B230">
        <v>54112</v>
      </c>
      <c r="C230" s="29">
        <v>45472</v>
      </c>
      <c r="D230" t="s">
        <v>222</v>
      </c>
      <c r="E230" t="s">
        <v>93</v>
      </c>
      <c r="F230" t="s">
        <v>75</v>
      </c>
      <c r="G230" t="s">
        <v>76</v>
      </c>
      <c r="H230">
        <v>10</v>
      </c>
      <c r="I230">
        <v>102</v>
      </c>
      <c r="J230">
        <v>10.199999999999999</v>
      </c>
      <c r="K230">
        <v>0.5</v>
      </c>
      <c r="L230">
        <v>192172</v>
      </c>
      <c r="M230">
        <v>18717</v>
      </c>
      <c r="N230">
        <v>0.65300000000000002</v>
      </c>
      <c r="O230">
        <v>0</v>
      </c>
      <c r="P230">
        <v>550785</v>
      </c>
      <c r="Q230">
        <v>125511</v>
      </c>
      <c r="R230">
        <v>212242.05</v>
      </c>
      <c r="S230">
        <v>143543</v>
      </c>
      <c r="T230">
        <v>0.22800000000000001</v>
      </c>
      <c r="U230">
        <v>0.59099999999999997</v>
      </c>
      <c r="V230">
        <v>2.5950000000000002</v>
      </c>
      <c r="W230">
        <v>618695</v>
      </c>
      <c r="X230">
        <v>148611</v>
      </c>
      <c r="Y230">
        <v>0.24</v>
      </c>
      <c r="Z230">
        <v>6</v>
      </c>
      <c r="AA230" t="s">
        <v>147</v>
      </c>
    </row>
    <row r="231" spans="1:27" x14ac:dyDescent="0.3">
      <c r="A231">
        <v>230</v>
      </c>
      <c r="B231">
        <v>54326</v>
      </c>
      <c r="C231" s="29">
        <v>45473</v>
      </c>
      <c r="D231" t="s">
        <v>222</v>
      </c>
      <c r="E231" t="s">
        <v>82</v>
      </c>
      <c r="F231" t="s">
        <v>80</v>
      </c>
      <c r="G231" t="s">
        <v>81</v>
      </c>
      <c r="H231">
        <v>8</v>
      </c>
      <c r="I231">
        <v>84</v>
      </c>
      <c r="J231">
        <v>10.5</v>
      </c>
      <c r="K231">
        <v>0</v>
      </c>
      <c r="L231">
        <v>85481</v>
      </c>
      <c r="M231">
        <v>10685</v>
      </c>
      <c r="N231">
        <v>0.58599999999999997</v>
      </c>
      <c r="O231">
        <v>0.125</v>
      </c>
      <c r="P231">
        <v>686962</v>
      </c>
      <c r="Q231">
        <v>50094</v>
      </c>
      <c r="R231">
        <v>124168.61</v>
      </c>
      <c r="S231">
        <v>164898</v>
      </c>
      <c r="T231">
        <v>7.2999999999999995E-2</v>
      </c>
      <c r="U231">
        <v>0.40300000000000002</v>
      </c>
      <c r="V231">
        <v>5.532</v>
      </c>
      <c r="W231">
        <v>647756</v>
      </c>
      <c r="X231">
        <v>126554</v>
      </c>
      <c r="Y231">
        <v>0.19500000000000001</v>
      </c>
      <c r="Z231">
        <v>6</v>
      </c>
      <c r="AA231" t="s">
        <v>147</v>
      </c>
    </row>
    <row r="232" spans="1:27" x14ac:dyDescent="0.3">
      <c r="A232">
        <v>231</v>
      </c>
      <c r="B232">
        <v>54327</v>
      </c>
      <c r="C232" s="29">
        <v>45478</v>
      </c>
      <c r="D232" t="s">
        <v>222</v>
      </c>
      <c r="E232" t="s">
        <v>77</v>
      </c>
      <c r="F232" t="s">
        <v>84</v>
      </c>
      <c r="G232" t="s">
        <v>79</v>
      </c>
      <c r="H232">
        <v>9</v>
      </c>
      <c r="I232">
        <v>80</v>
      </c>
      <c r="J232">
        <v>8.9</v>
      </c>
      <c r="K232">
        <v>0.44400000000000001</v>
      </c>
      <c r="L232">
        <v>99251</v>
      </c>
      <c r="M232">
        <v>11028</v>
      </c>
      <c r="N232">
        <v>1.19</v>
      </c>
      <c r="O232">
        <v>0</v>
      </c>
      <c r="P232">
        <v>548073</v>
      </c>
      <c r="Q232">
        <v>118106</v>
      </c>
      <c r="R232">
        <v>125663.89</v>
      </c>
      <c r="S232">
        <v>251920</v>
      </c>
      <c r="T232">
        <v>0.215</v>
      </c>
      <c r="U232">
        <v>0.94</v>
      </c>
      <c r="V232">
        <v>4.3609999999999998</v>
      </c>
      <c r="W232">
        <v>540968</v>
      </c>
      <c r="X232">
        <v>75054</v>
      </c>
      <c r="Y232">
        <v>0.13900000000000001</v>
      </c>
      <c r="Z232">
        <v>7</v>
      </c>
      <c r="AA232" t="s">
        <v>147</v>
      </c>
    </row>
    <row r="233" spans="1:27" x14ac:dyDescent="0.3">
      <c r="A233">
        <v>232</v>
      </c>
      <c r="B233">
        <v>54400</v>
      </c>
      <c r="C233" s="29">
        <v>45478</v>
      </c>
      <c r="D233" t="s">
        <v>222</v>
      </c>
      <c r="E233" t="s">
        <v>77</v>
      </c>
      <c r="F233" t="s">
        <v>80</v>
      </c>
      <c r="G233" t="s">
        <v>81</v>
      </c>
      <c r="H233">
        <v>9</v>
      </c>
      <c r="I233">
        <v>85</v>
      </c>
      <c r="J233">
        <v>9.4</v>
      </c>
      <c r="K233">
        <v>0.222</v>
      </c>
      <c r="L233">
        <v>131285</v>
      </c>
      <c r="M233">
        <v>14587</v>
      </c>
      <c r="N233">
        <v>1.327</v>
      </c>
      <c r="O233">
        <v>0</v>
      </c>
      <c r="P233">
        <v>932904</v>
      </c>
      <c r="Q233">
        <v>174275</v>
      </c>
      <c r="R233">
        <v>169976.11</v>
      </c>
      <c r="S233">
        <v>298746</v>
      </c>
      <c r="T233">
        <v>0.187</v>
      </c>
      <c r="U233">
        <v>1.0249999999999999</v>
      </c>
      <c r="V233">
        <v>5.4880000000000004</v>
      </c>
      <c r="W233">
        <v>1000228</v>
      </c>
      <c r="X233">
        <v>269375</v>
      </c>
      <c r="Y233">
        <v>0.26900000000000002</v>
      </c>
      <c r="Z233">
        <v>7</v>
      </c>
      <c r="AA233" t="s">
        <v>147</v>
      </c>
    </row>
    <row r="234" spans="1:27" x14ac:dyDescent="0.3">
      <c r="A234">
        <v>233</v>
      </c>
      <c r="B234">
        <v>54404</v>
      </c>
      <c r="C234" s="29">
        <v>45480</v>
      </c>
      <c r="D234" t="s">
        <v>222</v>
      </c>
      <c r="E234" t="s">
        <v>82</v>
      </c>
      <c r="F234" t="s">
        <v>80</v>
      </c>
      <c r="G234" t="s">
        <v>81</v>
      </c>
      <c r="H234">
        <v>8</v>
      </c>
      <c r="I234">
        <v>86</v>
      </c>
      <c r="J234">
        <v>10.8</v>
      </c>
      <c r="K234">
        <v>0.375</v>
      </c>
      <c r="L234">
        <v>87006</v>
      </c>
      <c r="M234">
        <v>10876</v>
      </c>
      <c r="N234">
        <v>1.3380000000000001</v>
      </c>
      <c r="O234">
        <v>0.125</v>
      </c>
      <c r="P234">
        <v>730099</v>
      </c>
      <c r="Q234">
        <v>116455</v>
      </c>
      <c r="R234">
        <v>125693.61</v>
      </c>
      <c r="S234">
        <v>184107</v>
      </c>
      <c r="T234">
        <v>0.16</v>
      </c>
      <c r="U234">
        <v>0.92600000000000005</v>
      </c>
      <c r="V234">
        <v>5.8090000000000002</v>
      </c>
      <c r="W234">
        <v>723988</v>
      </c>
      <c r="X234">
        <v>182977</v>
      </c>
      <c r="Y234">
        <v>0.253</v>
      </c>
      <c r="Z234">
        <v>7</v>
      </c>
      <c r="AA234" t="s">
        <v>147</v>
      </c>
    </row>
    <row r="235" spans="1:27" x14ac:dyDescent="0.3">
      <c r="A235">
        <v>234</v>
      </c>
      <c r="B235">
        <v>54405</v>
      </c>
      <c r="C235" s="29">
        <v>45485</v>
      </c>
      <c r="D235" t="s">
        <v>222</v>
      </c>
      <c r="E235" t="s">
        <v>77</v>
      </c>
      <c r="F235" t="s">
        <v>80</v>
      </c>
      <c r="G235" t="s">
        <v>81</v>
      </c>
      <c r="H235">
        <v>10</v>
      </c>
      <c r="I235">
        <v>105</v>
      </c>
      <c r="J235">
        <v>10.5</v>
      </c>
      <c r="K235">
        <v>0.2</v>
      </c>
      <c r="L235">
        <v>155843</v>
      </c>
      <c r="M235">
        <v>15584</v>
      </c>
      <c r="N235">
        <v>1.016</v>
      </c>
      <c r="O235">
        <v>0.1</v>
      </c>
      <c r="P235">
        <v>990887</v>
      </c>
      <c r="Q235">
        <v>158335</v>
      </c>
      <c r="R235">
        <v>194894.86</v>
      </c>
      <c r="S235">
        <v>270085</v>
      </c>
      <c r="T235">
        <v>0.16</v>
      </c>
      <c r="U235">
        <v>0.81200000000000006</v>
      </c>
      <c r="V235">
        <v>5.0839999999999996</v>
      </c>
      <c r="W235">
        <v>826414</v>
      </c>
      <c r="X235">
        <v>92639</v>
      </c>
      <c r="Y235">
        <v>0.112</v>
      </c>
      <c r="Z235">
        <v>7</v>
      </c>
      <c r="AA235" t="s">
        <v>147</v>
      </c>
    </row>
    <row r="236" spans="1:27" x14ac:dyDescent="0.3">
      <c r="A236">
        <v>235</v>
      </c>
      <c r="B236">
        <v>54408</v>
      </c>
      <c r="C236" s="29">
        <v>45485</v>
      </c>
      <c r="D236" t="s">
        <v>222</v>
      </c>
      <c r="E236" t="s">
        <v>77</v>
      </c>
      <c r="F236" t="s">
        <v>78</v>
      </c>
      <c r="G236" t="s">
        <v>79</v>
      </c>
      <c r="H236">
        <v>9</v>
      </c>
      <c r="I236">
        <v>76</v>
      </c>
      <c r="J236">
        <v>8.4</v>
      </c>
      <c r="K236">
        <v>0.222</v>
      </c>
      <c r="L236">
        <v>135214</v>
      </c>
      <c r="M236">
        <v>-448</v>
      </c>
      <c r="N236">
        <v>0.82799999999999996</v>
      </c>
      <c r="O236">
        <v>0</v>
      </c>
      <c r="P236">
        <v>586813</v>
      </c>
      <c r="Q236">
        <v>111926</v>
      </c>
      <c r="R236">
        <v>23329.29</v>
      </c>
      <c r="S236">
        <v>193117</v>
      </c>
      <c r="T236">
        <v>0.191</v>
      </c>
      <c r="U236">
        <v>4.798</v>
      </c>
      <c r="V236">
        <v>25.152999999999999</v>
      </c>
      <c r="W236">
        <v>639156</v>
      </c>
      <c r="X236">
        <v>60861</v>
      </c>
      <c r="Y236">
        <v>9.5000000000000001E-2</v>
      </c>
      <c r="Z236">
        <v>7</v>
      </c>
      <c r="AA236" t="s">
        <v>147</v>
      </c>
    </row>
    <row r="237" spans="1:27" x14ac:dyDescent="0.3">
      <c r="A237">
        <v>236</v>
      </c>
      <c r="B237">
        <v>54527</v>
      </c>
      <c r="C237" s="29">
        <v>45487</v>
      </c>
      <c r="D237" t="s">
        <v>222</v>
      </c>
      <c r="E237" t="s">
        <v>82</v>
      </c>
      <c r="F237" t="s">
        <v>80</v>
      </c>
      <c r="G237" t="s">
        <v>81</v>
      </c>
      <c r="H237">
        <v>9</v>
      </c>
      <c r="I237">
        <v>92</v>
      </c>
      <c r="J237">
        <v>10.199999999999999</v>
      </c>
      <c r="K237">
        <v>0.33300000000000002</v>
      </c>
      <c r="L237">
        <v>97262</v>
      </c>
      <c r="M237">
        <v>10807</v>
      </c>
      <c r="N237">
        <v>1.431</v>
      </c>
      <c r="O237">
        <v>0.111</v>
      </c>
      <c r="P237">
        <v>746095</v>
      </c>
      <c r="Q237">
        <v>139190</v>
      </c>
      <c r="R237">
        <v>135951.10999999999</v>
      </c>
      <c r="S237">
        <v>184098</v>
      </c>
      <c r="T237">
        <v>0.187</v>
      </c>
      <c r="U237">
        <v>1.024</v>
      </c>
      <c r="V237">
        <v>5.4880000000000004</v>
      </c>
      <c r="W237">
        <v>756282</v>
      </c>
      <c r="X237">
        <v>193293</v>
      </c>
      <c r="Y237">
        <v>0.25600000000000001</v>
      </c>
      <c r="Z237">
        <v>7</v>
      </c>
      <c r="AA237" t="s">
        <v>147</v>
      </c>
    </row>
    <row r="238" spans="1:27" x14ac:dyDescent="0.3">
      <c r="A238">
        <v>237</v>
      </c>
      <c r="B238">
        <v>54409</v>
      </c>
      <c r="C238" s="29">
        <v>45492</v>
      </c>
      <c r="D238" t="s">
        <v>222</v>
      </c>
      <c r="E238" t="s">
        <v>77</v>
      </c>
      <c r="F238" t="s">
        <v>84</v>
      </c>
      <c r="G238" t="s">
        <v>79</v>
      </c>
      <c r="H238">
        <v>9</v>
      </c>
      <c r="I238">
        <v>85</v>
      </c>
      <c r="J238">
        <v>9.4</v>
      </c>
      <c r="K238">
        <v>0.33300000000000002</v>
      </c>
      <c r="L238">
        <v>102758</v>
      </c>
      <c r="M238">
        <v>11418</v>
      </c>
      <c r="N238">
        <v>0.60599999999999998</v>
      </c>
      <c r="O238">
        <v>0</v>
      </c>
      <c r="P238">
        <v>497256</v>
      </c>
      <c r="Q238">
        <v>62245</v>
      </c>
      <c r="R238">
        <v>128970.14</v>
      </c>
      <c r="S238">
        <v>70613</v>
      </c>
      <c r="T238">
        <v>0.125</v>
      </c>
      <c r="U238">
        <v>0.48299999999999998</v>
      </c>
      <c r="V238">
        <v>3.8559999999999999</v>
      </c>
      <c r="W238">
        <v>544698</v>
      </c>
      <c r="X238">
        <v>166172</v>
      </c>
      <c r="Y238">
        <v>0.30499999999999999</v>
      </c>
      <c r="Z238">
        <v>7</v>
      </c>
      <c r="AA238" t="s">
        <v>147</v>
      </c>
    </row>
    <row r="239" spans="1:27" x14ac:dyDescent="0.3">
      <c r="A239">
        <v>238</v>
      </c>
      <c r="B239">
        <v>54528</v>
      </c>
      <c r="C239" s="29">
        <v>45492</v>
      </c>
      <c r="D239" t="s">
        <v>222</v>
      </c>
      <c r="E239" t="s">
        <v>77</v>
      </c>
      <c r="F239" t="s">
        <v>80</v>
      </c>
      <c r="G239" t="s">
        <v>81</v>
      </c>
      <c r="H239">
        <v>10</v>
      </c>
      <c r="I239">
        <v>102</v>
      </c>
      <c r="J239">
        <v>10.199999999999999</v>
      </c>
      <c r="K239">
        <v>0.5</v>
      </c>
      <c r="L239">
        <v>159434</v>
      </c>
      <c r="M239">
        <v>15943</v>
      </c>
      <c r="N239">
        <v>1.0029999999999999</v>
      </c>
      <c r="O239">
        <v>0</v>
      </c>
      <c r="P239">
        <v>961485</v>
      </c>
      <c r="Q239">
        <v>159871</v>
      </c>
      <c r="R239">
        <v>198222.36</v>
      </c>
      <c r="S239">
        <v>92342</v>
      </c>
      <c r="T239">
        <v>0.16600000000000001</v>
      </c>
      <c r="U239">
        <v>0.80700000000000005</v>
      </c>
      <c r="V239">
        <v>4.851</v>
      </c>
      <c r="W239">
        <v>978077</v>
      </c>
      <c r="X239">
        <v>281003</v>
      </c>
      <c r="Y239">
        <v>0.28699999999999998</v>
      </c>
      <c r="Z239">
        <v>7</v>
      </c>
      <c r="AA239" t="s">
        <v>147</v>
      </c>
    </row>
    <row r="240" spans="1:27" x14ac:dyDescent="0.3">
      <c r="A240">
        <v>239</v>
      </c>
      <c r="B240">
        <v>54530</v>
      </c>
      <c r="C240" s="29">
        <v>45494</v>
      </c>
      <c r="D240" t="s">
        <v>222</v>
      </c>
      <c r="E240" t="s">
        <v>82</v>
      </c>
      <c r="F240" t="s">
        <v>80</v>
      </c>
      <c r="G240" t="s">
        <v>81</v>
      </c>
      <c r="H240">
        <v>8</v>
      </c>
      <c r="I240">
        <v>90</v>
      </c>
      <c r="J240">
        <v>11.2</v>
      </c>
      <c r="K240">
        <v>0.375</v>
      </c>
      <c r="L240">
        <v>86879</v>
      </c>
      <c r="M240">
        <v>10860</v>
      </c>
      <c r="N240">
        <v>2.2450000000000001</v>
      </c>
      <c r="O240">
        <v>0.125</v>
      </c>
      <c r="P240">
        <v>675189</v>
      </c>
      <c r="Q240">
        <v>195083</v>
      </c>
      <c r="R240">
        <v>125668.61</v>
      </c>
      <c r="S240">
        <v>108745</v>
      </c>
      <c r="T240">
        <v>0.28899999999999998</v>
      </c>
      <c r="U240">
        <v>1.552</v>
      </c>
      <c r="V240">
        <v>5.3730000000000002</v>
      </c>
      <c r="W240">
        <v>799650</v>
      </c>
      <c r="X240">
        <v>232817</v>
      </c>
      <c r="Y240">
        <v>0.29099999999999998</v>
      </c>
      <c r="Z240">
        <v>7</v>
      </c>
      <c r="AA240" t="s">
        <v>147</v>
      </c>
    </row>
    <row r="241" spans="1:27" x14ac:dyDescent="0.3">
      <c r="A241">
        <v>240</v>
      </c>
      <c r="B241">
        <v>54410</v>
      </c>
      <c r="C241" s="29">
        <v>45499</v>
      </c>
      <c r="D241" t="s">
        <v>222</v>
      </c>
      <c r="E241" t="s">
        <v>77</v>
      </c>
      <c r="F241" t="s">
        <v>78</v>
      </c>
      <c r="G241" t="s">
        <v>79</v>
      </c>
      <c r="H241">
        <v>9</v>
      </c>
      <c r="I241">
        <v>96</v>
      </c>
      <c r="J241">
        <v>10.7</v>
      </c>
      <c r="K241">
        <v>0.111</v>
      </c>
      <c r="L241">
        <v>172731</v>
      </c>
      <c r="M241">
        <v>-474</v>
      </c>
      <c r="N241">
        <v>0.91500000000000004</v>
      </c>
      <c r="O241">
        <v>0</v>
      </c>
      <c r="P241">
        <v>616382</v>
      </c>
      <c r="Q241">
        <v>158058</v>
      </c>
      <c r="R241">
        <v>23095.29</v>
      </c>
      <c r="S241">
        <v>184810</v>
      </c>
      <c r="T241">
        <v>0.25600000000000001</v>
      </c>
      <c r="U241">
        <v>6.8440000000000003</v>
      </c>
      <c r="V241">
        <v>26.689</v>
      </c>
      <c r="W241">
        <v>663455</v>
      </c>
      <c r="X241">
        <v>131618</v>
      </c>
      <c r="Y241">
        <v>0.19800000000000001</v>
      </c>
      <c r="Z241">
        <v>7</v>
      </c>
      <c r="AA241" t="s">
        <v>147</v>
      </c>
    </row>
    <row r="242" spans="1:27" x14ac:dyDescent="0.3">
      <c r="A242">
        <v>241</v>
      </c>
      <c r="B242">
        <v>54529</v>
      </c>
      <c r="C242" s="29">
        <v>45499</v>
      </c>
      <c r="D242" t="s">
        <v>222</v>
      </c>
      <c r="E242" t="s">
        <v>77</v>
      </c>
      <c r="F242" t="s">
        <v>80</v>
      </c>
      <c r="G242" t="s">
        <v>81</v>
      </c>
      <c r="H242">
        <v>10</v>
      </c>
      <c r="I242">
        <v>117</v>
      </c>
      <c r="J242">
        <v>11.7</v>
      </c>
      <c r="K242">
        <v>0.2</v>
      </c>
      <c r="L242">
        <v>200788</v>
      </c>
      <c r="M242">
        <v>20079</v>
      </c>
      <c r="N242">
        <v>0.999</v>
      </c>
      <c r="O242">
        <v>0.1</v>
      </c>
      <c r="P242">
        <v>920443</v>
      </c>
      <c r="Q242">
        <v>200618</v>
      </c>
      <c r="R242">
        <v>239476.11</v>
      </c>
      <c r="S242">
        <v>324460</v>
      </c>
      <c r="T242">
        <v>0.218</v>
      </c>
      <c r="U242">
        <v>0.83799999999999997</v>
      </c>
      <c r="V242">
        <v>3.8439999999999999</v>
      </c>
      <c r="W242">
        <v>906052</v>
      </c>
      <c r="X242">
        <v>212269</v>
      </c>
      <c r="Y242">
        <v>0.23400000000000001</v>
      </c>
      <c r="Z242">
        <v>7</v>
      </c>
      <c r="AA242" t="s">
        <v>147</v>
      </c>
    </row>
    <row r="243" spans="1:27" x14ac:dyDescent="0.3">
      <c r="A243">
        <v>242</v>
      </c>
      <c r="B243">
        <v>54531</v>
      </c>
      <c r="C243" s="29">
        <v>45501</v>
      </c>
      <c r="D243" t="s">
        <v>222</v>
      </c>
      <c r="E243" t="s">
        <v>82</v>
      </c>
      <c r="F243" t="s">
        <v>80</v>
      </c>
      <c r="G243" t="s">
        <v>81</v>
      </c>
      <c r="H243">
        <v>8</v>
      </c>
      <c r="I243">
        <v>72</v>
      </c>
      <c r="J243">
        <v>9</v>
      </c>
      <c r="K243">
        <v>0.25</v>
      </c>
      <c r="L243">
        <v>87958</v>
      </c>
      <c r="M243">
        <v>10917</v>
      </c>
      <c r="N243">
        <v>1.833</v>
      </c>
      <c r="O243">
        <v>0</v>
      </c>
      <c r="P243">
        <v>564787</v>
      </c>
      <c r="Q243">
        <v>161206</v>
      </c>
      <c r="R243">
        <v>126384.86</v>
      </c>
      <c r="S243">
        <v>125926</v>
      </c>
      <c r="T243">
        <v>0.28499999999999998</v>
      </c>
      <c r="U243">
        <v>1.276</v>
      </c>
      <c r="V243">
        <v>4.4690000000000003</v>
      </c>
      <c r="W243">
        <v>729472</v>
      </c>
      <c r="X243">
        <v>217330</v>
      </c>
      <c r="Y243">
        <v>0.29799999999999999</v>
      </c>
      <c r="Z243">
        <v>7</v>
      </c>
      <c r="AA243" t="s">
        <v>147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N2"/>
  <sheetViews>
    <sheetView workbookViewId="0">
      <selection activeCell="N3" sqref="N3"/>
    </sheetView>
  </sheetViews>
  <sheetFormatPr defaultRowHeight="14.4" x14ac:dyDescent="0.3"/>
  <cols>
    <col min="1" max="1" width="15.109375" bestFit="1" customWidth="1"/>
    <col min="2" max="2" width="8" bestFit="1" customWidth="1"/>
    <col min="3" max="3" width="9.6640625" bestFit="1" customWidth="1"/>
    <col min="4" max="4" width="6.33203125" bestFit="1" customWidth="1"/>
    <col min="5" max="5" width="18.44140625" bestFit="1" customWidth="1"/>
    <col min="6" max="6" width="20.44140625" bestFit="1" customWidth="1"/>
    <col min="7" max="7" width="13.33203125" bestFit="1" customWidth="1"/>
    <col min="8" max="8" width="14.6640625" bestFit="1" customWidth="1"/>
    <col min="9" max="9" width="10.5546875" bestFit="1" customWidth="1"/>
    <col min="10" max="10" width="9" bestFit="1" customWidth="1"/>
    <col min="11" max="11" width="12" bestFit="1" customWidth="1"/>
    <col min="12" max="12" width="16.88671875" bestFit="1" customWidth="1"/>
    <col min="13" max="13" width="20.6640625" bestFit="1" customWidth="1"/>
    <col min="14" max="14" width="20.5546875" bestFit="1" customWidth="1"/>
  </cols>
  <sheetData>
    <row r="1" spans="1:14" x14ac:dyDescent="0.3">
      <c r="A1" t="s">
        <v>201</v>
      </c>
      <c r="B1" t="s">
        <v>49</v>
      </c>
      <c r="C1" t="s">
        <v>50</v>
      </c>
      <c r="D1" t="s">
        <v>223</v>
      </c>
      <c r="E1" t="s">
        <v>224</v>
      </c>
      <c r="F1" t="s">
        <v>225</v>
      </c>
      <c r="G1" t="s">
        <v>209</v>
      </c>
      <c r="H1" t="s">
        <v>226</v>
      </c>
      <c r="I1" t="s">
        <v>213</v>
      </c>
      <c r="J1" t="s">
        <v>57</v>
      </c>
      <c r="K1" t="s">
        <v>215</v>
      </c>
      <c r="L1" t="s">
        <v>227</v>
      </c>
      <c r="M1" t="s">
        <v>29</v>
      </c>
      <c r="N1" t="s">
        <v>126</v>
      </c>
    </row>
    <row r="2" spans="1:14" x14ac:dyDescent="0.3">
      <c r="A2" t="s">
        <v>222</v>
      </c>
      <c r="B2">
        <v>2111</v>
      </c>
      <c r="C2">
        <v>21384</v>
      </c>
      <c r="D2">
        <v>10.130000000000001</v>
      </c>
      <c r="E2">
        <v>764</v>
      </c>
      <c r="F2">
        <v>34801864</v>
      </c>
      <c r="G2">
        <v>38874502</v>
      </c>
      <c r="H2">
        <v>42377863</v>
      </c>
      <c r="I2">
        <v>180432638</v>
      </c>
      <c r="J2">
        <v>32474441</v>
      </c>
      <c r="K2">
        <v>57215239</v>
      </c>
      <c r="L2">
        <v>310</v>
      </c>
      <c r="M2" s="87">
        <f>0.03*prior_yr_cumulative_total[[#This Row],[export_TO]]</f>
        <v>1716457.17</v>
      </c>
      <c r="N2" s="87">
        <f>prior_yr_cumulative_total[[#This Row],[GBR]]+prior_yr_cumulative_total[[#This Row],[Export Earned (AUD)]]</f>
        <v>34190898.170000002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9" ma:contentTypeDescription="Create a new document." ma:contentTypeScope="" ma:versionID="2de24a7e6be73ec0dd4846af80e2bde2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fb7f8795eea58e1dc36e4931f9f1b5cd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4CB286-E640-49F3-91BC-14079F043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NOTES</vt:lpstr>
      <vt:lpstr>Raceday Breakdown</vt:lpstr>
      <vt:lpstr>Club Breakdown</vt:lpstr>
      <vt:lpstr>NZ Grouping Breakdown</vt:lpstr>
      <vt:lpstr>Betcha Integrated</vt:lpstr>
      <vt:lpstr>raceday_23_24</vt:lpstr>
      <vt:lpstr>prior_yr_cumulative_total</vt:lpstr>
      <vt:lpstr>'Club Breakdown'!Print_Area</vt:lpstr>
      <vt:lpstr>'Raceday Breakdown'!Print_Area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Ollie Partridge</dc:creator>
  <cp:keywords/>
  <dc:description/>
  <cp:lastModifiedBy>Ollie Partridge</cp:lastModifiedBy>
  <cp:revision/>
  <dcterms:created xsi:type="dcterms:W3CDTF">2022-09-15T04:29:49Z</dcterms:created>
  <dcterms:modified xsi:type="dcterms:W3CDTF">2025-06-11T22:20:13Z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